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05" yWindow="-105" windowWidth="15495" windowHeight="8190" firstSheet="4" activeTab="4"/>
  </bookViews>
  <sheets>
    <sheet name="SCCL-Resource" sheetId="10" state="hidden" r:id="rId1"/>
    <sheet name="new Gas IPPs" sheetId="6" state="hidden" r:id="rId2"/>
    <sheet name="Sheet1" sheetId="9" state="hidden" r:id="rId3"/>
    <sheet name="Sheet2" sheetId="11" state="hidden" r:id="rId4"/>
    <sheet name="Generation projections" sheetId="15" r:id="rId5"/>
    <sheet name="Sheet7" sheetId="16" state="hidden" r:id="rId6"/>
  </sheets>
  <definedNames>
    <definedName name="_xlnm.Print_Area" localSheetId="1">'new Gas IPPs'!$B$1:$O$16</definedName>
    <definedName name="_xlnm.Print_Area" localSheetId="0">'SCCL-Resource'!$B$1:$R$5</definedName>
    <definedName name="_xlnm.Print_Area" localSheetId="3">Sheet2!$B$5:$I$17</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175" i="15"/>
  <c r="Q175"/>
  <c r="P175"/>
  <c r="O175"/>
  <c r="N175"/>
  <c r="R155"/>
  <c r="Q155"/>
  <c r="P155"/>
  <c r="O155"/>
  <c r="N155"/>
  <c r="E32"/>
  <c r="E33" s="1"/>
  <c r="E31"/>
  <c r="E29"/>
  <c r="R180" i="16"/>
  <c r="Q180"/>
  <c r="P180"/>
  <c r="O180"/>
  <c r="N180"/>
  <c r="O160"/>
  <c r="P160"/>
  <c r="Q160"/>
  <c r="R160"/>
  <c r="N160"/>
  <c r="T140"/>
  <c r="S140"/>
  <c r="R140"/>
  <c r="Q140"/>
  <c r="P140"/>
  <c r="T139"/>
  <c r="S139"/>
  <c r="R139"/>
  <c r="Q139"/>
  <c r="P139"/>
  <c r="O74"/>
  <c r="O77" s="1"/>
  <c r="N74"/>
  <c r="N77" s="1"/>
  <c r="M74"/>
  <c r="M77" s="1"/>
  <c r="L74"/>
  <c r="L77" s="1"/>
  <c r="P73"/>
  <c r="P76" s="1"/>
  <c r="O73"/>
  <c r="O76" s="1"/>
  <c r="N73"/>
  <c r="N76" s="1"/>
  <c r="M73"/>
  <c r="M76" s="1"/>
  <c r="L73"/>
  <c r="L76" s="1"/>
  <c r="O61"/>
  <c r="O64" s="1"/>
  <c r="N61"/>
  <c r="N64" s="1"/>
  <c r="M61"/>
  <c r="M64" s="1"/>
  <c r="L61"/>
  <c r="L64" s="1"/>
  <c r="P60"/>
  <c r="P63" s="1"/>
  <c r="O60"/>
  <c r="O63" s="1"/>
  <c r="N60"/>
  <c r="N63" s="1"/>
  <c r="M60"/>
  <c r="M63" s="1"/>
  <c r="L60"/>
  <c r="L63" s="1"/>
  <c r="O49"/>
  <c r="O52" s="1"/>
  <c r="N49"/>
  <c r="N52" s="1"/>
  <c r="M49"/>
  <c r="M52" s="1"/>
  <c r="L49"/>
  <c r="L52" s="1"/>
  <c r="P48"/>
  <c r="P51" s="1"/>
  <c r="O48"/>
  <c r="O51" s="1"/>
  <c r="N48"/>
  <c r="N51" s="1"/>
  <c r="M48"/>
  <c r="M51" s="1"/>
  <c r="L48"/>
  <c r="L51" s="1"/>
  <c r="O38"/>
  <c r="O41" s="1"/>
  <c r="N38"/>
  <c r="N41" s="1"/>
  <c r="M38"/>
  <c r="M41" s="1"/>
  <c r="L38"/>
  <c r="L41" s="1"/>
  <c r="P37"/>
  <c r="P40" s="1"/>
  <c r="O37"/>
  <c r="O40" s="1"/>
  <c r="N37"/>
  <c r="N40" s="1"/>
  <c r="M37"/>
  <c r="M40" s="1"/>
  <c r="L37"/>
  <c r="L40" s="1"/>
  <c r="N30"/>
  <c r="O28"/>
  <c r="O31" s="1"/>
  <c r="N28"/>
  <c r="N31" s="1"/>
  <c r="M28"/>
  <c r="M31" s="1"/>
  <c r="L28"/>
  <c r="L31" s="1"/>
  <c r="P27"/>
  <c r="P30" s="1"/>
  <c r="O27"/>
  <c r="O30" s="1"/>
  <c r="M27"/>
  <c r="M30" s="1"/>
  <c r="L27"/>
  <c r="L30" s="1"/>
  <c r="W13"/>
  <c r="W72" s="1"/>
  <c r="V13"/>
  <c r="V72" s="1"/>
  <c r="U13"/>
  <c r="U72" s="1"/>
  <c r="T13"/>
  <c r="T72" s="1"/>
  <c r="S13"/>
  <c r="S72" s="1"/>
  <c r="R13"/>
  <c r="R72" s="1"/>
  <c r="Q13"/>
  <c r="Q72" s="1"/>
  <c r="P13"/>
  <c r="P72" s="1"/>
  <c r="P75" s="1"/>
  <c r="O13"/>
  <c r="O72" s="1"/>
  <c r="O75" s="1"/>
  <c r="N13"/>
  <c r="N72" s="1"/>
  <c r="N75" s="1"/>
  <c r="M13"/>
  <c r="M72" s="1"/>
  <c r="M75" s="1"/>
  <c r="L13"/>
  <c r="L72" s="1"/>
  <c r="H13"/>
  <c r="W12"/>
  <c r="W59" s="1"/>
  <c r="V12"/>
  <c r="V59" s="1"/>
  <c r="U12"/>
  <c r="U59" s="1"/>
  <c r="T12"/>
  <c r="T59" s="1"/>
  <c r="S12"/>
  <c r="S59" s="1"/>
  <c r="R12"/>
  <c r="R59" s="1"/>
  <c r="Q12"/>
  <c r="Q59" s="1"/>
  <c r="P12"/>
  <c r="P59" s="1"/>
  <c r="P62" s="1"/>
  <c r="O12"/>
  <c r="O59" s="1"/>
  <c r="O62" s="1"/>
  <c r="N12"/>
  <c r="N59" s="1"/>
  <c r="N62" s="1"/>
  <c r="M12"/>
  <c r="M59" s="1"/>
  <c r="M62" s="1"/>
  <c r="L12"/>
  <c r="H12"/>
  <c r="W11"/>
  <c r="W47" s="1"/>
  <c r="V11"/>
  <c r="V47" s="1"/>
  <c r="U11"/>
  <c r="U47" s="1"/>
  <c r="T11"/>
  <c r="T47" s="1"/>
  <c r="S11"/>
  <c r="S47" s="1"/>
  <c r="R11"/>
  <c r="R47" s="1"/>
  <c r="Q11"/>
  <c r="Q47" s="1"/>
  <c r="P11"/>
  <c r="P47" s="1"/>
  <c r="P50" s="1"/>
  <c r="O11"/>
  <c r="O47" s="1"/>
  <c r="O50" s="1"/>
  <c r="N11"/>
  <c r="N47" s="1"/>
  <c r="N50" s="1"/>
  <c r="M11"/>
  <c r="M47" s="1"/>
  <c r="M50" s="1"/>
  <c r="L11"/>
  <c r="L47" s="1"/>
  <c r="H11"/>
  <c r="W10"/>
  <c r="W36" s="1"/>
  <c r="V10"/>
  <c r="V36" s="1"/>
  <c r="U10"/>
  <c r="U36" s="1"/>
  <c r="T10"/>
  <c r="T36" s="1"/>
  <c r="S10"/>
  <c r="S36" s="1"/>
  <c r="R10"/>
  <c r="R36" s="1"/>
  <c r="Q10"/>
  <c r="Q36" s="1"/>
  <c r="P10"/>
  <c r="P36" s="1"/>
  <c r="P39" s="1"/>
  <c r="O10"/>
  <c r="O36" s="1"/>
  <c r="O39" s="1"/>
  <c r="N10"/>
  <c r="N36" s="1"/>
  <c r="N39" s="1"/>
  <c r="M10"/>
  <c r="M36" s="1"/>
  <c r="M39" s="1"/>
  <c r="L10"/>
  <c r="L36" s="1"/>
  <c r="H10"/>
  <c r="W9"/>
  <c r="W26" s="1"/>
  <c r="V9"/>
  <c r="V26" s="1"/>
  <c r="U9"/>
  <c r="U26" s="1"/>
  <c r="T9"/>
  <c r="T26" s="1"/>
  <c r="S9"/>
  <c r="S26" s="1"/>
  <c r="R9"/>
  <c r="R26" s="1"/>
  <c r="Q9"/>
  <c r="Q26" s="1"/>
  <c r="P9"/>
  <c r="P26" s="1"/>
  <c r="P29" s="1"/>
  <c r="O9"/>
  <c r="O26" s="1"/>
  <c r="O29" s="1"/>
  <c r="N9"/>
  <c r="N26" s="1"/>
  <c r="N29" s="1"/>
  <c r="M9"/>
  <c r="M26" s="1"/>
  <c r="M29" s="1"/>
  <c r="L9"/>
  <c r="H9"/>
  <c r="X7"/>
  <c r="Q4"/>
  <c r="P4"/>
  <c r="P3"/>
  <c r="Q3" s="1"/>
  <c r="L3"/>
  <c r="P2"/>
  <c r="Q2" s="1"/>
  <c r="R2" s="1"/>
  <c r="N30" i="15"/>
  <c r="O74"/>
  <c r="O77" s="1"/>
  <c r="N74"/>
  <c r="N77" s="1"/>
  <c r="M74"/>
  <c r="M77" s="1"/>
  <c r="L74"/>
  <c r="L77" s="1"/>
  <c r="P73"/>
  <c r="P74" s="1"/>
  <c r="P77" s="1"/>
  <c r="O73"/>
  <c r="O76" s="1"/>
  <c r="N73"/>
  <c r="N76" s="1"/>
  <c r="M73"/>
  <c r="M76" s="1"/>
  <c r="L73"/>
  <c r="L76" s="1"/>
  <c r="O61"/>
  <c r="O64" s="1"/>
  <c r="N61"/>
  <c r="N64" s="1"/>
  <c r="M61"/>
  <c r="M64" s="1"/>
  <c r="L61"/>
  <c r="L64" s="1"/>
  <c r="P60"/>
  <c r="P61" s="1"/>
  <c r="P64" s="1"/>
  <c r="O60"/>
  <c r="O63" s="1"/>
  <c r="N60"/>
  <c r="N63" s="1"/>
  <c r="M60"/>
  <c r="M63" s="1"/>
  <c r="L60"/>
  <c r="O49"/>
  <c r="O52" s="1"/>
  <c r="N49"/>
  <c r="N52" s="1"/>
  <c r="N48"/>
  <c r="N51" s="1"/>
  <c r="O48"/>
  <c r="O51" s="1"/>
  <c r="M49"/>
  <c r="M52" s="1"/>
  <c r="L49"/>
  <c r="L52" s="1"/>
  <c r="P48"/>
  <c r="P51" s="1"/>
  <c r="M48"/>
  <c r="M51" s="1"/>
  <c r="L48"/>
  <c r="L51" s="1"/>
  <c r="O38"/>
  <c r="O41" s="1"/>
  <c r="O37"/>
  <c r="O40" s="1"/>
  <c r="N38"/>
  <c r="N41" s="1"/>
  <c r="N37"/>
  <c r="N40" s="1"/>
  <c r="M38"/>
  <c r="M41" s="1"/>
  <c r="M37"/>
  <c r="M40" s="1"/>
  <c r="P37"/>
  <c r="P38" s="1"/>
  <c r="P41" s="1"/>
  <c r="L38"/>
  <c r="L41" s="1"/>
  <c r="L37"/>
  <c r="L40" s="1"/>
  <c r="O28"/>
  <c r="O31" s="1"/>
  <c r="O27"/>
  <c r="O30" s="1"/>
  <c r="O9"/>
  <c r="O26" s="1"/>
  <c r="P27"/>
  <c r="P30" s="1"/>
  <c r="N28"/>
  <c r="N31" s="1"/>
  <c r="M28"/>
  <c r="M31" s="1"/>
  <c r="M27"/>
  <c r="M30" s="1"/>
  <c r="L28"/>
  <c r="L31" s="1"/>
  <c r="L27"/>
  <c r="L30" s="1"/>
  <c r="W13"/>
  <c r="W72" s="1"/>
  <c r="V13"/>
  <c r="V72" s="1"/>
  <c r="U13"/>
  <c r="U72" s="1"/>
  <c r="T13"/>
  <c r="T72" s="1"/>
  <c r="S13"/>
  <c r="S72" s="1"/>
  <c r="R13"/>
  <c r="R72" s="1"/>
  <c r="Q13"/>
  <c r="Q72" s="1"/>
  <c r="P13"/>
  <c r="P72" s="1"/>
  <c r="P75" s="1"/>
  <c r="O13"/>
  <c r="O72" s="1"/>
  <c r="O75" s="1"/>
  <c r="N13"/>
  <c r="N72" s="1"/>
  <c r="M13"/>
  <c r="M72" s="1"/>
  <c r="M75" s="1"/>
  <c r="L13"/>
  <c r="H13"/>
  <c r="W12"/>
  <c r="W59" s="1"/>
  <c r="V12"/>
  <c r="V59" s="1"/>
  <c r="V62" s="1"/>
  <c r="U12"/>
  <c r="U59" s="1"/>
  <c r="T12"/>
  <c r="T59" s="1"/>
  <c r="S12"/>
  <c r="S59" s="1"/>
  <c r="R12"/>
  <c r="R59" s="1"/>
  <c r="R62" s="1"/>
  <c r="Q12"/>
  <c r="Q59" s="1"/>
  <c r="P12"/>
  <c r="P59" s="1"/>
  <c r="P62" s="1"/>
  <c r="O12"/>
  <c r="O59" s="1"/>
  <c r="O62" s="1"/>
  <c r="N12"/>
  <c r="N59" s="1"/>
  <c r="M12"/>
  <c r="M59" s="1"/>
  <c r="M62" s="1"/>
  <c r="L12"/>
  <c r="H12"/>
  <c r="W11"/>
  <c r="W47" s="1"/>
  <c r="V11"/>
  <c r="V47" s="1"/>
  <c r="U11"/>
  <c r="U47" s="1"/>
  <c r="T11"/>
  <c r="T47" s="1"/>
  <c r="T48" s="1"/>
  <c r="T49" s="1"/>
  <c r="T52" s="1"/>
  <c r="S11"/>
  <c r="S47" s="1"/>
  <c r="R11"/>
  <c r="R47" s="1"/>
  <c r="Q11"/>
  <c r="Q47" s="1"/>
  <c r="P11"/>
  <c r="P47" s="1"/>
  <c r="P50" s="1"/>
  <c r="O11"/>
  <c r="O47" s="1"/>
  <c r="O50" s="1"/>
  <c r="N11"/>
  <c r="N47" s="1"/>
  <c r="N50" s="1"/>
  <c r="M11"/>
  <c r="M47" s="1"/>
  <c r="L11"/>
  <c r="L47" s="1"/>
  <c r="L50" s="1"/>
  <c r="H11"/>
  <c r="W10"/>
  <c r="W36" s="1"/>
  <c r="V10"/>
  <c r="V36" s="1"/>
  <c r="U10"/>
  <c r="U36" s="1"/>
  <c r="T10"/>
  <c r="T36" s="1"/>
  <c r="T39" s="1"/>
  <c r="S10"/>
  <c r="S36" s="1"/>
  <c r="R10"/>
  <c r="R36" s="1"/>
  <c r="Q10"/>
  <c r="Q36" s="1"/>
  <c r="P10"/>
  <c r="P36" s="1"/>
  <c r="P39" s="1"/>
  <c r="O10"/>
  <c r="O36" s="1"/>
  <c r="O39" s="1"/>
  <c r="N10"/>
  <c r="N36" s="1"/>
  <c r="M10"/>
  <c r="M36" s="1"/>
  <c r="M39" s="1"/>
  <c r="L10"/>
  <c r="L36" s="1"/>
  <c r="L39" s="1"/>
  <c r="H10"/>
  <c r="W9"/>
  <c r="W26" s="1"/>
  <c r="W27" s="1"/>
  <c r="V9"/>
  <c r="V26" s="1"/>
  <c r="V29" s="1"/>
  <c r="U9"/>
  <c r="U26" s="1"/>
  <c r="U29" s="1"/>
  <c r="T9"/>
  <c r="T26" s="1"/>
  <c r="T29" s="1"/>
  <c r="S9"/>
  <c r="S26" s="1"/>
  <c r="S27" s="1"/>
  <c r="R9"/>
  <c r="R26" s="1"/>
  <c r="R29" s="1"/>
  <c r="Q9"/>
  <c r="Q26" s="1"/>
  <c r="Q29" s="1"/>
  <c r="P9"/>
  <c r="P26" s="1"/>
  <c r="P29" s="1"/>
  <c r="N9"/>
  <c r="N26" s="1"/>
  <c r="N29" s="1"/>
  <c r="M9"/>
  <c r="M26" s="1"/>
  <c r="M29" s="1"/>
  <c r="L9"/>
  <c r="L26" s="1"/>
  <c r="L29" s="1"/>
  <c r="H9"/>
  <c r="X7"/>
  <c r="P4"/>
  <c r="Q4" s="1"/>
  <c r="P3"/>
  <c r="Q3" s="1"/>
  <c r="L3"/>
  <c r="P2"/>
  <c r="Q2" s="1"/>
  <c r="R2" s="1"/>
  <c r="I11" i="16" l="1"/>
  <c r="J11" s="1"/>
  <c r="F32" i="15"/>
  <c r="F33" s="1"/>
  <c r="F34"/>
  <c r="X13"/>
  <c r="P49"/>
  <c r="P52" s="1"/>
  <c r="P28"/>
  <c r="P31" s="1"/>
  <c r="W37"/>
  <c r="W39"/>
  <c r="R48"/>
  <c r="R50"/>
  <c r="Q62"/>
  <c r="Q60"/>
  <c r="U62"/>
  <c r="U60"/>
  <c r="T75"/>
  <c r="T73"/>
  <c r="X36"/>
  <c r="Y36" s="1"/>
  <c r="Q99" s="1"/>
  <c r="N39"/>
  <c r="R37"/>
  <c r="R39"/>
  <c r="V37"/>
  <c r="V39"/>
  <c r="M50"/>
  <c r="X47"/>
  <c r="Y47" s="1"/>
  <c r="R99" s="1"/>
  <c r="Q50"/>
  <c r="Q48"/>
  <c r="U48"/>
  <c r="U50"/>
  <c r="T62"/>
  <c r="T60"/>
  <c r="S73"/>
  <c r="S75"/>
  <c r="W73"/>
  <c r="W75"/>
  <c r="Q37"/>
  <c r="Q39"/>
  <c r="U37"/>
  <c r="U39"/>
  <c r="S60"/>
  <c r="S62"/>
  <c r="W60"/>
  <c r="W62"/>
  <c r="N75"/>
  <c r="R75"/>
  <c r="R73"/>
  <c r="V75"/>
  <c r="V73"/>
  <c r="S48"/>
  <c r="S50"/>
  <c r="W48"/>
  <c r="W50"/>
  <c r="Q75"/>
  <c r="Q73"/>
  <c r="U75"/>
  <c r="U73"/>
  <c r="S37"/>
  <c r="S39"/>
  <c r="V48"/>
  <c r="V50"/>
  <c r="R60"/>
  <c r="V60"/>
  <c r="N62"/>
  <c r="X11"/>
  <c r="T37"/>
  <c r="L72"/>
  <c r="L75" s="1"/>
  <c r="P40"/>
  <c r="X12"/>
  <c r="X9"/>
  <c r="I9" s="1"/>
  <c r="X10"/>
  <c r="L59"/>
  <c r="L62" s="1"/>
  <c r="T50"/>
  <c r="T51"/>
  <c r="L63"/>
  <c r="P63"/>
  <c r="P76"/>
  <c r="I12" i="16"/>
  <c r="K12" s="1"/>
  <c r="X9"/>
  <c r="X12"/>
  <c r="I13"/>
  <c r="K13" s="1"/>
  <c r="T29"/>
  <c r="T27"/>
  <c r="S39"/>
  <c r="S37"/>
  <c r="R50"/>
  <c r="R48"/>
  <c r="Q62"/>
  <c r="Q60"/>
  <c r="U62"/>
  <c r="U60"/>
  <c r="X72"/>
  <c r="Y72" s="1"/>
  <c r="T102" s="1"/>
  <c r="L75"/>
  <c r="T75"/>
  <c r="T73"/>
  <c r="K11"/>
  <c r="S29"/>
  <c r="S27"/>
  <c r="R39"/>
  <c r="R37"/>
  <c r="V39"/>
  <c r="V37"/>
  <c r="Q50"/>
  <c r="Q48"/>
  <c r="U50"/>
  <c r="U48"/>
  <c r="T62"/>
  <c r="T60"/>
  <c r="S75"/>
  <c r="S73"/>
  <c r="W75"/>
  <c r="W73"/>
  <c r="V29"/>
  <c r="V27"/>
  <c r="Q39"/>
  <c r="Q37"/>
  <c r="U39"/>
  <c r="U37"/>
  <c r="T50"/>
  <c r="T48"/>
  <c r="W62"/>
  <c r="W60"/>
  <c r="R75"/>
  <c r="R73"/>
  <c r="Q29"/>
  <c r="Q27"/>
  <c r="U29"/>
  <c r="U27"/>
  <c r="X36"/>
  <c r="Y36" s="1"/>
  <c r="Q102" s="1"/>
  <c r="L39"/>
  <c r="T39"/>
  <c r="T37"/>
  <c r="S50"/>
  <c r="S48"/>
  <c r="W50"/>
  <c r="W48"/>
  <c r="R62"/>
  <c r="R60"/>
  <c r="V62"/>
  <c r="V60"/>
  <c r="Q75"/>
  <c r="Q73"/>
  <c r="U75"/>
  <c r="U73"/>
  <c r="I9"/>
  <c r="W39"/>
  <c r="W37"/>
  <c r="V50"/>
  <c r="V48"/>
  <c r="W29"/>
  <c r="W27"/>
  <c r="R29"/>
  <c r="R27"/>
  <c r="X47"/>
  <c r="Y47" s="1"/>
  <c r="R102" s="1"/>
  <c r="L50"/>
  <c r="S62"/>
  <c r="S60"/>
  <c r="V75"/>
  <c r="V73"/>
  <c r="I10"/>
  <c r="X11"/>
  <c r="X10"/>
  <c r="L26"/>
  <c r="R3"/>
  <c r="S2" s="1"/>
  <c r="X13"/>
  <c r="P28"/>
  <c r="P38"/>
  <c r="P41" s="1"/>
  <c r="P49"/>
  <c r="P52" s="1"/>
  <c r="L59"/>
  <c r="P61"/>
  <c r="P64" s="1"/>
  <c r="P74"/>
  <c r="P77" s="1"/>
  <c r="T27" i="15"/>
  <c r="T30" s="1"/>
  <c r="U27"/>
  <c r="U28" s="1"/>
  <c r="U31" s="1"/>
  <c r="Q27"/>
  <c r="Q28" s="1"/>
  <c r="R27"/>
  <c r="X26"/>
  <c r="Y26" s="1"/>
  <c r="P99" s="1"/>
  <c r="V27"/>
  <c r="V30" s="1"/>
  <c r="W28"/>
  <c r="W31" s="1"/>
  <c r="W30"/>
  <c r="S28"/>
  <c r="S31" s="1"/>
  <c r="S30"/>
  <c r="Q31"/>
  <c r="W29"/>
  <c r="S29"/>
  <c r="Q30"/>
  <c r="O29"/>
  <c r="I12"/>
  <c r="R3"/>
  <c r="S2" s="1"/>
  <c r="I13"/>
  <c r="I10"/>
  <c r="I11"/>
  <c r="X60" i="16" l="1"/>
  <c r="Y60" s="1"/>
  <c r="S101" s="1"/>
  <c r="J13"/>
  <c r="J12"/>
  <c r="K9"/>
  <c r="K9" i="15"/>
  <c r="X60"/>
  <c r="Y60" s="1"/>
  <c r="S98" s="1"/>
  <c r="X37"/>
  <c r="Q89" s="1"/>
  <c r="X50"/>
  <c r="X53" s="1"/>
  <c r="X39"/>
  <c r="X42" s="1"/>
  <c r="S89"/>
  <c r="U74"/>
  <c r="U77" s="1"/>
  <c r="U76"/>
  <c r="V74"/>
  <c r="V77" s="1"/>
  <c r="V76"/>
  <c r="T74"/>
  <c r="T77" s="1"/>
  <c r="T76"/>
  <c r="Q63"/>
  <c r="Q61"/>
  <c r="R63"/>
  <c r="R61"/>
  <c r="R64" s="1"/>
  <c r="S38"/>
  <c r="S41" s="1"/>
  <c r="S40"/>
  <c r="S49"/>
  <c r="S52" s="1"/>
  <c r="S51"/>
  <c r="W61"/>
  <c r="W64" s="1"/>
  <c r="W63"/>
  <c r="U38"/>
  <c r="U41" s="1"/>
  <c r="U40"/>
  <c r="W74"/>
  <c r="W77" s="1"/>
  <c r="W76"/>
  <c r="V38"/>
  <c r="V41" s="1"/>
  <c r="V40"/>
  <c r="R49"/>
  <c r="R52" s="1"/>
  <c r="R51"/>
  <c r="V61"/>
  <c r="V64" s="1"/>
  <c r="V63"/>
  <c r="Q74"/>
  <c r="Q76"/>
  <c r="R74"/>
  <c r="R77" s="1"/>
  <c r="R76"/>
  <c r="T61"/>
  <c r="T64" s="1"/>
  <c r="T63"/>
  <c r="Q49"/>
  <c r="Q51"/>
  <c r="U61"/>
  <c r="U64" s="1"/>
  <c r="U63"/>
  <c r="T38"/>
  <c r="T41" s="1"/>
  <c r="T40"/>
  <c r="V49"/>
  <c r="V52" s="1"/>
  <c r="V51"/>
  <c r="W49"/>
  <c r="W52" s="1"/>
  <c r="W51"/>
  <c r="S63"/>
  <c r="S61"/>
  <c r="S64" s="1"/>
  <c r="Q38"/>
  <c r="Q40"/>
  <c r="S74"/>
  <c r="S77" s="1"/>
  <c r="S76"/>
  <c r="U49"/>
  <c r="U52" s="1"/>
  <c r="U51"/>
  <c r="R38"/>
  <c r="R41" s="1"/>
  <c r="R40"/>
  <c r="W38"/>
  <c r="W41" s="1"/>
  <c r="W40"/>
  <c r="X62"/>
  <c r="X75"/>
  <c r="X73"/>
  <c r="X48"/>
  <c r="X59"/>
  <c r="Y59" s="1"/>
  <c r="S99" s="1"/>
  <c r="X72"/>
  <c r="Y72" s="1"/>
  <c r="T99" s="1"/>
  <c r="X39" i="16"/>
  <c r="X42" s="1"/>
  <c r="X59"/>
  <c r="Y59" s="1"/>
  <c r="S102" s="1"/>
  <c r="L62"/>
  <c r="X62" s="1"/>
  <c r="S92"/>
  <c r="S61"/>
  <c r="S64" s="1"/>
  <c r="S63"/>
  <c r="R30"/>
  <c r="R28"/>
  <c r="R31" s="1"/>
  <c r="V51"/>
  <c r="V49"/>
  <c r="V52" s="1"/>
  <c r="J9"/>
  <c r="J15" s="1"/>
  <c r="Q76"/>
  <c r="Q74"/>
  <c r="R63"/>
  <c r="R61"/>
  <c r="R64" s="1"/>
  <c r="S49"/>
  <c r="S52" s="1"/>
  <c r="S51"/>
  <c r="Q30"/>
  <c r="Q28"/>
  <c r="Q31" s="1"/>
  <c r="W61"/>
  <c r="W64" s="1"/>
  <c r="W63"/>
  <c r="T51"/>
  <c r="T49"/>
  <c r="T52" s="1"/>
  <c r="Q40"/>
  <c r="Q38"/>
  <c r="Q41" s="1"/>
  <c r="W74"/>
  <c r="W77" s="1"/>
  <c r="W76"/>
  <c r="U51"/>
  <c r="U49"/>
  <c r="U52" s="1"/>
  <c r="V40"/>
  <c r="V38"/>
  <c r="V41" s="1"/>
  <c r="S28"/>
  <c r="S31" s="1"/>
  <c r="S30"/>
  <c r="T76"/>
  <c r="T74"/>
  <c r="T77" s="1"/>
  <c r="U63"/>
  <c r="U61"/>
  <c r="U64" s="1"/>
  <c r="R51"/>
  <c r="R49"/>
  <c r="R52" s="1"/>
  <c r="T30"/>
  <c r="T28"/>
  <c r="T31" s="1"/>
  <c r="P31"/>
  <c r="J10"/>
  <c r="K10"/>
  <c r="V76"/>
  <c r="V74"/>
  <c r="V77" s="1"/>
  <c r="W28"/>
  <c r="W31" s="1"/>
  <c r="W30"/>
  <c r="W38"/>
  <c r="W41" s="1"/>
  <c r="W40"/>
  <c r="U76"/>
  <c r="U74"/>
  <c r="U77" s="1"/>
  <c r="V63"/>
  <c r="V61"/>
  <c r="V64" s="1"/>
  <c r="W49"/>
  <c r="W52" s="1"/>
  <c r="W51"/>
  <c r="T40"/>
  <c r="T38"/>
  <c r="T41" s="1"/>
  <c r="U30"/>
  <c r="U28"/>
  <c r="U31" s="1"/>
  <c r="R76"/>
  <c r="R74"/>
  <c r="R77" s="1"/>
  <c r="U40"/>
  <c r="U38"/>
  <c r="U41" s="1"/>
  <c r="V30"/>
  <c r="V28"/>
  <c r="V31" s="1"/>
  <c r="S74"/>
  <c r="S77" s="1"/>
  <c r="S76"/>
  <c r="T63"/>
  <c r="T61"/>
  <c r="T64" s="1"/>
  <c r="Q51"/>
  <c r="Q49"/>
  <c r="Q52" s="1"/>
  <c r="R40"/>
  <c r="R38"/>
  <c r="R41" s="1"/>
  <c r="Q63"/>
  <c r="Q61"/>
  <c r="Q64" s="1"/>
  <c r="S38"/>
  <c r="S41" s="1"/>
  <c r="S40"/>
  <c r="X26"/>
  <c r="Y26" s="1"/>
  <c r="P102" s="1"/>
  <c r="L29"/>
  <c r="X29" s="1"/>
  <c r="X73"/>
  <c r="X27"/>
  <c r="X22" s="1"/>
  <c r="X37"/>
  <c r="X50"/>
  <c r="X53" s="1"/>
  <c r="X75"/>
  <c r="X78" s="1"/>
  <c r="X48"/>
  <c r="T28" i="15"/>
  <c r="T31" s="1"/>
  <c r="X27"/>
  <c r="Y27" s="1"/>
  <c r="P98" s="1"/>
  <c r="X21"/>
  <c r="U30"/>
  <c r="R30"/>
  <c r="R28"/>
  <c r="R31" s="1"/>
  <c r="V28"/>
  <c r="V31" s="1"/>
  <c r="X29"/>
  <c r="J9"/>
  <c r="K13"/>
  <c r="J13"/>
  <c r="J11"/>
  <c r="K11"/>
  <c r="J10"/>
  <c r="K10"/>
  <c r="J12"/>
  <c r="K12"/>
  <c r="Y37" l="1"/>
  <c r="Q98" s="1"/>
  <c r="X64" i="16"/>
  <c r="S118" s="1"/>
  <c r="X21"/>
  <c r="X41"/>
  <c r="J15" i="15"/>
  <c r="X30"/>
  <c r="P116" s="1"/>
  <c r="X40"/>
  <c r="Q116" s="1"/>
  <c r="Q125" s="1"/>
  <c r="X63"/>
  <c r="S116" s="1"/>
  <c r="S125" s="1"/>
  <c r="X76"/>
  <c r="T116" s="1"/>
  <c r="X65"/>
  <c r="Q64"/>
  <c r="X64" s="1"/>
  <c r="X61"/>
  <c r="Q41"/>
  <c r="X41" s="1"/>
  <c r="X38"/>
  <c r="Q52"/>
  <c r="X52" s="1"/>
  <c r="X49"/>
  <c r="X78"/>
  <c r="Y73"/>
  <c r="T98" s="1"/>
  <c r="T89"/>
  <c r="Y48"/>
  <c r="R98" s="1"/>
  <c r="R89"/>
  <c r="Q77"/>
  <c r="X77" s="1"/>
  <c r="X74"/>
  <c r="X51"/>
  <c r="X32" i="16"/>
  <c r="P111" s="1"/>
  <c r="X52"/>
  <c r="Q118"/>
  <c r="Y37"/>
  <c r="Q101" s="1"/>
  <c r="Q92"/>
  <c r="X61"/>
  <c r="Y27"/>
  <c r="P101" s="1"/>
  <c r="P92"/>
  <c r="R118"/>
  <c r="R92"/>
  <c r="Y48"/>
  <c r="R101" s="1"/>
  <c r="Y73"/>
  <c r="T101" s="1"/>
  <c r="T92"/>
  <c r="Q77"/>
  <c r="X77" s="1"/>
  <c r="X74"/>
  <c r="X49"/>
  <c r="X31"/>
  <c r="X30"/>
  <c r="X28"/>
  <c r="X23" s="1"/>
  <c r="X38"/>
  <c r="X76"/>
  <c r="X63"/>
  <c r="X51"/>
  <c r="X40"/>
  <c r="X65"/>
  <c r="P89" i="15"/>
  <c r="X22"/>
  <c r="X32"/>
  <c r="P108" s="1"/>
  <c r="X31"/>
  <c r="P115" s="1"/>
  <c r="X28"/>
  <c r="X23" s="1"/>
  <c r="X79" l="1"/>
  <c r="P125"/>
  <c r="X33"/>
  <c r="P107" s="1"/>
  <c r="X43"/>
  <c r="X66"/>
  <c r="T125"/>
  <c r="S88"/>
  <c r="S90" s="1"/>
  <c r="Y61"/>
  <c r="S97" s="1"/>
  <c r="P117"/>
  <c r="X80"/>
  <c r="T115"/>
  <c r="Y38"/>
  <c r="Q97" s="1"/>
  <c r="Q88"/>
  <c r="Q90" s="1"/>
  <c r="Y74"/>
  <c r="T97" s="1"/>
  <c r="T88"/>
  <c r="T90" s="1"/>
  <c r="X55"/>
  <c r="R115"/>
  <c r="X67"/>
  <c r="S115"/>
  <c r="X54"/>
  <c r="R116"/>
  <c r="Y49"/>
  <c r="R97" s="1"/>
  <c r="R88"/>
  <c r="R90" s="1"/>
  <c r="X44"/>
  <c r="Q115"/>
  <c r="R119" i="16"/>
  <c r="R128" s="1"/>
  <c r="X54"/>
  <c r="Q91"/>
  <c r="Q93" s="1"/>
  <c r="Y38"/>
  <c r="Q100" s="1"/>
  <c r="Y49"/>
  <c r="R100" s="1"/>
  <c r="R91"/>
  <c r="R93" s="1"/>
  <c r="S127"/>
  <c r="Q119"/>
  <c r="Q128" s="1"/>
  <c r="X43"/>
  <c r="X34"/>
  <c r="P109" s="1"/>
  <c r="P118"/>
  <c r="S91"/>
  <c r="S93" s="1"/>
  <c r="Y61"/>
  <c r="S100" s="1"/>
  <c r="T119"/>
  <c r="T128" s="1"/>
  <c r="X79"/>
  <c r="P119"/>
  <c r="P128" s="1"/>
  <c r="X33"/>
  <c r="P110" s="1"/>
  <c r="X80"/>
  <c r="T118"/>
  <c r="Q120"/>
  <c r="S119"/>
  <c r="S128" s="1"/>
  <c r="X66"/>
  <c r="P91"/>
  <c r="P93" s="1"/>
  <c r="Y28"/>
  <c r="P100" s="1"/>
  <c r="T91"/>
  <c r="T93" s="1"/>
  <c r="Y74"/>
  <c r="T100" s="1"/>
  <c r="X55"/>
  <c r="X44"/>
  <c r="X67"/>
  <c r="X34" i="15"/>
  <c r="P106" s="1"/>
  <c r="Y28"/>
  <c r="P97" s="1"/>
  <c r="P88"/>
  <c r="P90" s="1"/>
  <c r="R124" l="1"/>
  <c r="Q124"/>
  <c r="Q117"/>
  <c r="Q126" s="1"/>
  <c r="P126"/>
  <c r="R117"/>
  <c r="R126" s="1"/>
  <c r="R125"/>
  <c r="S124"/>
  <c r="S117"/>
  <c r="S126" s="1"/>
  <c r="T117"/>
  <c r="T126" s="1"/>
  <c r="T124"/>
  <c r="P124"/>
  <c r="Q129" i="16"/>
  <c r="Q138" s="1"/>
  <c r="T120"/>
  <c r="T129" s="1"/>
  <c r="T138" s="1"/>
  <c r="T127"/>
  <c r="P120"/>
  <c r="P129" s="1"/>
  <c r="P138" s="1"/>
  <c r="P127"/>
  <c r="S120"/>
  <c r="S129" s="1"/>
  <c r="S138" s="1"/>
  <c r="R120"/>
  <c r="R129" s="1"/>
  <c r="R138" s="1"/>
  <c r="Q127"/>
  <c r="R127"/>
  <c r="I14" i="11"/>
  <c r="O14"/>
  <c r="O15"/>
  <c r="N14"/>
  <c r="N15"/>
  <c r="W9"/>
  <c r="W10"/>
  <c r="W11"/>
  <c r="W12"/>
  <c r="W13"/>
  <c r="W14"/>
  <c r="W15"/>
  <c r="W16"/>
  <c r="W17"/>
  <c r="W8"/>
  <c r="V17"/>
  <c r="V16"/>
  <c r="V15"/>
  <c r="V13"/>
  <c r="V14"/>
  <c r="V12"/>
  <c r="V11"/>
  <c r="V9"/>
  <c r="V10"/>
  <c r="V8"/>
  <c r="U9"/>
  <c r="U10"/>
  <c r="U11"/>
  <c r="U12"/>
  <c r="U13"/>
  <c r="U14"/>
  <c r="U15"/>
  <c r="U16"/>
  <c r="U17"/>
  <c r="U8"/>
  <c r="T9"/>
  <c r="T10"/>
  <c r="T11"/>
  <c r="T12"/>
  <c r="T13"/>
  <c r="T14"/>
  <c r="T15"/>
  <c r="T16"/>
  <c r="T17"/>
  <c r="T8"/>
  <c r="S9"/>
  <c r="S10"/>
  <c r="S11"/>
  <c r="S12"/>
  <c r="S13"/>
  <c r="S14"/>
  <c r="S15"/>
  <c r="S16"/>
  <c r="S17"/>
  <c r="S8"/>
  <c r="R9"/>
  <c r="R10"/>
  <c r="R11"/>
  <c r="R12"/>
  <c r="R13"/>
  <c r="R14"/>
  <c r="R15"/>
  <c r="R16"/>
  <c r="R17"/>
  <c r="R8"/>
  <c r="Q9"/>
  <c r="Q10"/>
  <c r="Q11"/>
  <c r="Q12"/>
  <c r="Q13"/>
  <c r="Q14"/>
  <c r="Q15"/>
  <c r="Q16"/>
  <c r="Q17"/>
  <c r="Q8"/>
  <c r="P9"/>
  <c r="P10"/>
  <c r="P11"/>
  <c r="P12"/>
  <c r="P13"/>
  <c r="P14"/>
  <c r="P15"/>
  <c r="P16"/>
  <c r="P17"/>
  <c r="P8"/>
  <c r="O17"/>
  <c r="O16"/>
  <c r="O13"/>
  <c r="O12"/>
  <c r="O9"/>
  <c r="O10"/>
  <c r="O11"/>
  <c r="O8"/>
  <c r="N17"/>
  <c r="N16"/>
  <c r="N13"/>
  <c r="N12"/>
  <c r="N9"/>
  <c r="N10"/>
  <c r="N11"/>
  <c r="N8"/>
  <c r="M9"/>
  <c r="M10"/>
  <c r="M11"/>
  <c r="M12"/>
  <c r="M13"/>
  <c r="M14"/>
  <c r="M15"/>
  <c r="M16"/>
  <c r="M17"/>
  <c r="M8"/>
  <c r="L9"/>
  <c r="L10"/>
  <c r="L11"/>
  <c r="L12"/>
  <c r="L13"/>
  <c r="L14"/>
  <c r="L15"/>
  <c r="L16"/>
  <c r="L17"/>
  <c r="L8"/>
  <c r="P3"/>
  <c r="P4"/>
  <c r="X15" l="1"/>
  <c r="X10"/>
  <c r="X14"/>
  <c r="X17"/>
  <c r="X9"/>
  <c r="X16"/>
  <c r="X13"/>
  <c r="X12"/>
  <c r="X11"/>
  <c r="X8"/>
  <c r="H17" l="1"/>
  <c r="I17" s="1"/>
  <c r="H16"/>
  <c r="I16" s="1"/>
  <c r="H15"/>
  <c r="I15" s="1"/>
  <c r="H14"/>
  <c r="H13"/>
  <c r="I13" s="1"/>
  <c r="H12"/>
  <c r="I12" s="1"/>
  <c r="H11"/>
  <c r="I11" s="1"/>
  <c r="I10"/>
  <c r="H10"/>
  <c r="H9"/>
  <c r="I9" s="1"/>
  <c r="H8"/>
  <c r="I8" s="1"/>
  <c r="H7"/>
  <c r="I7" s="1"/>
  <c r="C8" i="6"/>
  <c r="E8"/>
  <c r="F8"/>
  <c r="G8"/>
  <c r="H8"/>
  <c r="I8"/>
  <c r="J8"/>
  <c r="K8"/>
  <c r="L8"/>
  <c r="M8"/>
  <c r="N8"/>
  <c r="D4" l="1"/>
  <c r="D6"/>
  <c r="D5"/>
  <c r="D3"/>
  <c r="D8" l="1"/>
</calcChain>
</file>

<file path=xl/sharedStrings.xml><?xml version="1.0" encoding="utf-8"?>
<sst xmlns="http://schemas.openxmlformats.org/spreadsheetml/2006/main" count="572" uniqueCount="116">
  <si>
    <t>Energy Source</t>
  </si>
  <si>
    <t>FY 2020-21</t>
  </si>
  <si>
    <t>FY 2021-22</t>
  </si>
  <si>
    <t>FY 2022-23</t>
  </si>
  <si>
    <t>FY 2023-24</t>
  </si>
  <si>
    <t>Total</t>
  </si>
  <si>
    <t>Energy Availability from IPPs (MU)</t>
  </si>
  <si>
    <t>GVK Extension</t>
  </si>
  <si>
    <t>Vemagiri</t>
  </si>
  <si>
    <t>Gautami</t>
  </si>
  <si>
    <t>Konaseema</t>
  </si>
  <si>
    <t>Remarks</t>
  </si>
  <si>
    <t>Singareni Thermal Power  Project-Stage-I</t>
  </si>
  <si>
    <t>TS Share in MW</t>
  </si>
  <si>
    <t>Actual Capacity MW</t>
  </si>
  <si>
    <t>FY 2024-25</t>
  </si>
  <si>
    <t>FY 2025-26</t>
  </si>
  <si>
    <t>FY 2026-27</t>
  </si>
  <si>
    <t>FY 2027-28</t>
  </si>
  <si>
    <t>FY 2028-29</t>
  </si>
  <si>
    <t>_</t>
  </si>
  <si>
    <t>2*600</t>
  </si>
  <si>
    <t>Agreement capacity expires as follows:</t>
  </si>
  <si>
    <t>118.558  MW</t>
  </si>
  <si>
    <t>GVk Extension</t>
  </si>
  <si>
    <t>2024-25</t>
  </si>
  <si>
    <t>199.34 MW</t>
  </si>
  <si>
    <t>GMR Vemagiri</t>
  </si>
  <si>
    <t>2029-30</t>
  </si>
  <si>
    <t>250.05 MW</t>
  </si>
  <si>
    <t>GVK Gautami</t>
  </si>
  <si>
    <t>239.31 MW</t>
  </si>
  <si>
    <t>2025-26</t>
  </si>
  <si>
    <t>TS share</t>
  </si>
  <si>
    <t>Project Name</t>
  </si>
  <si>
    <t>expiry year</t>
  </si>
  <si>
    <t>FY  2019-20</t>
  </si>
  <si>
    <t xml:space="preserve">*  The Natural gas supplies from RIL KG D-6 fields to  these IPPs became zero from 01.03.2013 onwards and hence at present there is no generation from these 4  IPPs                                                                                                                                                                                             </t>
  </si>
  <si>
    <t>Actual Capacity (in MW)</t>
  </si>
  <si>
    <t>TS Share (in MW)</t>
  </si>
  <si>
    <t>FY            2022-23</t>
  </si>
  <si>
    <t>FY            2023-24</t>
  </si>
  <si>
    <t>FY            2024-25</t>
  </si>
  <si>
    <t>FY            2025-26</t>
  </si>
  <si>
    <t>FY            2027-28</t>
  </si>
  <si>
    <t>FY            2028-29</t>
  </si>
  <si>
    <t xml:space="preserve">    FY         2029-30</t>
  </si>
  <si>
    <t xml:space="preserve">     FY  2030-31</t>
  </si>
  <si>
    <t xml:space="preserve">    FY     2031-32</t>
  </si>
  <si>
    <t xml:space="preserve">    FY     2032-33</t>
  </si>
  <si>
    <t xml:space="preserve">    FY     2033-34</t>
  </si>
  <si>
    <t>PPA Agreement Period /PPA Expiry Period</t>
  </si>
  <si>
    <t>Energy Availability from Other Plants Generation (in MU)</t>
  </si>
  <si>
    <t>Unit-1</t>
  </si>
  <si>
    <t>COH</t>
  </si>
  <si>
    <t>FY 2029-30</t>
  </si>
  <si>
    <t>FY 2030-31</t>
  </si>
  <si>
    <t>Fy 2031-32</t>
  </si>
  <si>
    <t>FY 2032-33</t>
  </si>
  <si>
    <t>FY 2033-34</t>
  </si>
  <si>
    <t>Unit-2</t>
  </si>
  <si>
    <t>AOH</t>
  </si>
  <si>
    <t>S.No</t>
  </si>
  <si>
    <t>Period</t>
  </si>
  <si>
    <t>Unit</t>
  </si>
  <si>
    <t>Reason</t>
  </si>
  <si>
    <t>Duration</t>
  </si>
  <si>
    <t>Projected Availability</t>
  </si>
  <si>
    <t>FY            
2026-27</t>
  </si>
  <si>
    <t>No of days</t>
  </si>
  <si>
    <t>Both units running days</t>
  </si>
  <si>
    <t>25 years/2042</t>
  </si>
  <si>
    <r>
      <rPr>
        <b/>
        <sz val="15"/>
        <color theme="1"/>
        <rFont val="Calibri"/>
        <family val="2"/>
        <scheme val="minor"/>
      </rPr>
      <t>Note:</t>
    </r>
    <r>
      <rPr>
        <sz val="15"/>
        <color theme="1"/>
        <rFont val="Calibri"/>
        <family val="2"/>
        <scheme val="minor"/>
      </rPr>
      <t xml:space="preserve"> The above energy availability for FY 2022-23 to FY 2033-34 are expected values.</t>
    </r>
  </si>
  <si>
    <t xml:space="preserve"> -</t>
  </si>
  <si>
    <t>April</t>
  </si>
  <si>
    <t>May</t>
  </si>
  <si>
    <t>June</t>
  </si>
  <si>
    <t>July</t>
  </si>
  <si>
    <t>August</t>
  </si>
  <si>
    <t>September</t>
  </si>
  <si>
    <t>October</t>
  </si>
  <si>
    <t>November</t>
  </si>
  <si>
    <t>December</t>
  </si>
  <si>
    <t>January</t>
  </si>
  <si>
    <t>February</t>
  </si>
  <si>
    <t>March</t>
  </si>
  <si>
    <t>Notes: 1) Unit-1 AOH planned in June and July months of 2025,2027. 
          2) Unit-2 AOH planned in June and July months of 2026,2028 and COH is planned in 2024.
          3) AOH is planned for 35 days,COH is planned for 55 days and remaining days 96% generation is considered.
          4) The projection of net energy availability is based on estimated declared capacity, however actual energy will be sourced as per day ahead scheudle provided by TSLDC.
          5) Auxilliary consumption of 6.75% is considered based on normative allowed 5.75% to STPP for FY 2019-24 plus 1% for FGD from August-2024.</t>
  </si>
  <si>
    <t>U#2</t>
  </si>
  <si>
    <t>U#1</t>
  </si>
  <si>
    <t>Serial No</t>
  </si>
  <si>
    <t>Unit / Station</t>
  </si>
  <si>
    <t>Capacity in MW</t>
  </si>
  <si>
    <t>Ensuing year</t>
  </si>
  <si>
    <t>2019-20</t>
  </si>
  <si>
    <t>2020-21</t>
  </si>
  <si>
    <t>2021-22</t>
  </si>
  <si>
    <t>2022-23</t>
  </si>
  <si>
    <t>Projected</t>
  </si>
  <si>
    <t>Unit 1</t>
  </si>
  <si>
    <t>Unit 2</t>
  </si>
  <si>
    <t>STPP station</t>
  </si>
  <si>
    <t>2026-27</t>
  </si>
  <si>
    <t>2027-28</t>
  </si>
  <si>
    <t>2028-29</t>
  </si>
  <si>
    <t>Projection of net generation quantum (MU)</t>
  </si>
  <si>
    <t xml:space="preserve">Projection of PLF </t>
  </si>
  <si>
    <t>Projection of gross generation quantum (MU)</t>
  </si>
  <si>
    <t>Projection of auxiliary energy quantum (MU)</t>
  </si>
  <si>
    <t>Projection of auxiliary energy percentage</t>
  </si>
  <si>
    <t>Month</t>
  </si>
  <si>
    <t>Projected monthly gross generation quantum (MU)</t>
  </si>
  <si>
    <t>Projected monthly net generation quantum (MU)</t>
  </si>
  <si>
    <t>Actual auxiliary energy percentage of previous years</t>
  </si>
  <si>
    <t>Station</t>
  </si>
  <si>
    <t>2X600</t>
  </si>
  <si>
    <t>Present control period actuals upto FY 2022-23</t>
  </si>
</sst>
</file>

<file path=xl/styles.xml><?xml version="1.0" encoding="utf-8"?>
<styleSheet xmlns="http://schemas.openxmlformats.org/spreadsheetml/2006/main">
  <numFmts count="2">
    <numFmt numFmtId="164" formatCode="0.000"/>
    <numFmt numFmtId="165" formatCode="0.0%"/>
  </numFmts>
  <fonts count="16">
    <font>
      <sz val="11"/>
      <color theme="1"/>
      <name val="Calibri"/>
      <family val="2"/>
      <scheme val="minor"/>
    </font>
    <font>
      <b/>
      <sz val="14"/>
      <color theme="1"/>
      <name val="Calibri"/>
      <family val="2"/>
      <scheme val="minor"/>
    </font>
    <font>
      <sz val="10"/>
      <name val="Arial"/>
      <family val="2"/>
    </font>
    <font>
      <b/>
      <sz val="15"/>
      <color theme="1"/>
      <name val="Calibri"/>
      <family val="2"/>
      <scheme val="minor"/>
    </font>
    <font>
      <sz val="15"/>
      <color theme="1"/>
      <name val="Calibri"/>
      <family val="2"/>
      <scheme val="minor"/>
    </font>
    <font>
      <b/>
      <sz val="16"/>
      <color theme="1"/>
      <name val="Calibri"/>
      <family val="2"/>
      <scheme val="minor"/>
    </font>
    <font>
      <sz val="8"/>
      <name val="Calibri"/>
      <family val="2"/>
      <scheme val="minor"/>
    </font>
    <font>
      <sz val="11"/>
      <color theme="1"/>
      <name val="Calibri"/>
      <family val="2"/>
      <scheme val="minor"/>
    </font>
    <font>
      <b/>
      <sz val="11"/>
      <color theme="1"/>
      <name val="Calibri"/>
      <family val="2"/>
      <scheme val="minor"/>
    </font>
    <font>
      <sz val="11"/>
      <color theme="1"/>
      <name val="Trebuchet MS"/>
      <family val="2"/>
    </font>
    <font>
      <sz val="11"/>
      <color rgb="FF000000"/>
      <name val="Calibri"/>
      <family val="2"/>
      <scheme val="minor"/>
    </font>
    <font>
      <sz val="14"/>
      <color rgb="FF000000"/>
      <name val="Calibri"/>
      <family val="2"/>
      <scheme val="minor"/>
    </font>
    <font>
      <sz val="10"/>
      <color rgb="FF000000"/>
      <name val="Calibri"/>
      <family val="2"/>
      <scheme val="minor"/>
    </font>
    <font>
      <b/>
      <sz val="11"/>
      <color rgb="FF000000"/>
      <name val="Calibri"/>
      <family val="2"/>
      <scheme val="minor"/>
    </font>
    <font>
      <sz val="12"/>
      <color rgb="FF000000"/>
      <name val="Calibri"/>
      <family val="2"/>
      <scheme val="minor"/>
    </font>
    <font>
      <b/>
      <sz val="12"/>
      <color rgb="FF000000"/>
      <name val="Calibri"/>
      <family val="2"/>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7" fillId="0" borderId="0" applyFont="0" applyFill="0" applyBorder="0" applyAlignment="0" applyProtection="0"/>
  </cellStyleXfs>
  <cellXfs count="90">
    <xf numFmtId="0" fontId="0" fillId="0" borderId="0" xfId="0"/>
    <xf numFmtId="0" fontId="0" fillId="0" borderId="0" xfId="0" applyAlignment="1">
      <alignment horizontal="center"/>
    </xf>
    <xf numFmtId="0" fontId="0" fillId="0" borderId="0" xfId="0" applyAlignment="1">
      <alignment vertical="center"/>
    </xf>
    <xf numFmtId="0" fontId="4" fillId="0" borderId="0" xfId="0" applyFont="1"/>
    <xf numFmtId="0" fontId="3" fillId="0" borderId="3" xfId="0" applyFont="1" applyBorder="1" applyAlignment="1">
      <alignment horizontal="left" vertical="center" wrapText="1"/>
    </xf>
    <xf numFmtId="0" fontId="3" fillId="0" borderId="3" xfId="0" applyFont="1" applyBorder="1" applyAlignment="1">
      <alignment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center" vertical="center"/>
    </xf>
    <xf numFmtId="0" fontId="4" fillId="0" borderId="0" xfId="0" applyFont="1" applyAlignment="1">
      <alignment horizontal="center" vertical="center"/>
    </xf>
    <xf numFmtId="0" fontId="3" fillId="0" borderId="3" xfId="0" applyFont="1" applyFill="1" applyBorder="1" applyAlignment="1">
      <alignment horizontal="left" vertical="center" wrapText="1"/>
    </xf>
    <xf numFmtId="1" fontId="4" fillId="0" borderId="3" xfId="0" applyNumberFormat="1" applyFont="1" applyBorder="1" applyAlignment="1">
      <alignment horizontal="center" vertical="center"/>
    </xf>
    <xf numFmtId="1" fontId="4" fillId="0" borderId="5" xfId="0" applyNumberFormat="1" applyFont="1" applyFill="1" applyBorder="1" applyAlignment="1">
      <alignment horizontal="center" vertical="center"/>
    </xf>
    <xf numFmtId="0" fontId="3" fillId="0" borderId="3" xfId="0" applyFont="1" applyBorder="1" applyAlignment="1">
      <alignment vertical="center"/>
    </xf>
    <xf numFmtId="0" fontId="4" fillId="0" borderId="3" xfId="0" applyFont="1" applyBorder="1" applyAlignment="1">
      <alignment horizontal="center" wrapText="1"/>
    </xf>
    <xf numFmtId="0" fontId="3" fillId="0" borderId="3" xfId="0" applyFont="1" applyBorder="1"/>
    <xf numFmtId="1" fontId="4" fillId="0" borderId="3" xfId="0" applyNumberFormat="1" applyFont="1" applyBorder="1"/>
    <xf numFmtId="0" fontId="4" fillId="0" borderId="3" xfId="0" applyFont="1" applyBorder="1"/>
    <xf numFmtId="0" fontId="4" fillId="0" borderId="3" xfId="0" applyFont="1" applyBorder="1" applyAlignment="1">
      <alignment horizontal="center"/>
    </xf>
    <xf numFmtId="0" fontId="4" fillId="0" borderId="0" xfId="0" applyFont="1" applyAlignment="1">
      <alignment horizontal="center"/>
    </xf>
    <xf numFmtId="17" fontId="4" fillId="0" borderId="0" xfId="0" applyNumberFormat="1" applyFont="1"/>
    <xf numFmtId="0" fontId="1" fillId="0" borderId="3" xfId="0" applyFont="1" applyBorder="1" applyAlignment="1">
      <alignment horizontal="center" vertical="center" wrapText="1"/>
    </xf>
    <xf numFmtId="0" fontId="1" fillId="0" borderId="3" xfId="0" applyFont="1" applyBorder="1" applyAlignment="1">
      <alignment vertical="center" wrapText="1"/>
    </xf>
    <xf numFmtId="164" fontId="4" fillId="0" borderId="0" xfId="0" applyNumberFormat="1" applyFont="1"/>
    <xf numFmtId="164" fontId="4" fillId="0" borderId="3" xfId="0" applyNumberFormat="1" applyFont="1" applyBorder="1" applyAlignment="1">
      <alignment horizontal="center"/>
    </xf>
    <xf numFmtId="1" fontId="4" fillId="0" borderId="3" xfId="0" applyNumberFormat="1" applyFont="1" applyBorder="1" applyAlignment="1">
      <alignment horizontal="center"/>
    </xf>
    <xf numFmtId="2" fontId="4" fillId="0" borderId="3" xfId="0" applyNumberFormat="1" applyFont="1" applyBorder="1" applyAlignment="1">
      <alignment horizontal="center" vertical="center"/>
    </xf>
    <xf numFmtId="9" fontId="4" fillId="0" borderId="3" xfId="2" applyFont="1" applyFill="1" applyBorder="1" applyAlignment="1">
      <alignment horizontal="center" vertical="center" wrapText="1"/>
    </xf>
    <xf numFmtId="2" fontId="4" fillId="0" borderId="3" xfId="0" applyNumberFormat="1" applyFont="1" applyBorder="1" applyAlignment="1">
      <alignment horizontal="center" vertical="center" wrapText="1"/>
    </xf>
    <xf numFmtId="0" fontId="0" fillId="0" borderId="3" xfId="0" applyBorder="1" applyAlignment="1">
      <alignment horizontal="center"/>
    </xf>
    <xf numFmtId="0" fontId="8" fillId="0" borderId="3" xfId="0" applyFont="1" applyBorder="1" applyAlignment="1">
      <alignment horizontal="center"/>
    </xf>
    <xf numFmtId="164" fontId="0" fillId="0" borderId="3" xfId="0" applyNumberFormat="1" applyBorder="1" applyAlignment="1">
      <alignment horizontal="center"/>
    </xf>
    <xf numFmtId="164" fontId="8" fillId="0" borderId="3" xfId="0" applyNumberFormat="1" applyFont="1" applyBorder="1" applyAlignment="1">
      <alignment horizontal="center"/>
    </xf>
    <xf numFmtId="0" fontId="0" fillId="2" borderId="3" xfId="0" applyFill="1" applyBorder="1" applyAlignment="1">
      <alignment horizontal="center"/>
    </xf>
    <xf numFmtId="0" fontId="3" fillId="0" borderId="3" xfId="0" applyFont="1" applyBorder="1" applyAlignment="1">
      <alignment horizontal="center"/>
    </xf>
    <xf numFmtId="1" fontId="3" fillId="0" borderId="3" xfId="0" applyNumberFormat="1" applyFont="1" applyBorder="1" applyAlignment="1">
      <alignment horizontal="center"/>
    </xf>
    <xf numFmtId="164" fontId="3" fillId="0" borderId="3" xfId="0" applyNumberFormat="1" applyFont="1" applyBorder="1" applyAlignment="1">
      <alignment horizontal="center"/>
    </xf>
    <xf numFmtId="10" fontId="8" fillId="0" borderId="0" xfId="2" applyNumberFormat="1" applyFont="1"/>
    <xf numFmtId="0" fontId="8" fillId="0" borderId="0" xfId="0" applyFont="1"/>
    <xf numFmtId="164" fontId="0" fillId="0" borderId="3" xfId="0" applyNumberFormat="1" applyFont="1" applyBorder="1" applyAlignment="1">
      <alignment horizontal="center"/>
    </xf>
    <xf numFmtId="165" fontId="3" fillId="0" borderId="0" xfId="2" applyNumberFormat="1" applyFont="1"/>
    <xf numFmtId="9" fontId="4" fillId="0" borderId="0" xfId="2" applyFont="1"/>
    <xf numFmtId="2" fontId="0" fillId="0" borderId="0" xfId="0" applyNumberFormat="1"/>
    <xf numFmtId="164" fontId="0" fillId="0" borderId="3" xfId="0" applyNumberFormat="1" applyBorder="1"/>
    <xf numFmtId="164" fontId="0" fillId="0" borderId="3" xfId="0" applyNumberFormat="1" applyFont="1" applyBorder="1" applyAlignment="1"/>
    <xf numFmtId="164" fontId="8" fillId="0" borderId="3" xfId="0" applyNumberFormat="1" applyFont="1" applyBorder="1" applyAlignment="1"/>
    <xf numFmtId="0" fontId="0" fillId="0" borderId="3" xfId="0" applyFont="1" applyBorder="1" applyAlignment="1">
      <alignment horizontal="center"/>
    </xf>
    <xf numFmtId="0" fontId="13" fillId="0" borderId="3" xfId="0" applyFont="1" applyBorder="1" applyAlignment="1">
      <alignment horizontal="center"/>
    </xf>
    <xf numFmtId="0" fontId="12" fillId="0" borderId="3" xfId="0" applyFont="1" applyBorder="1" applyAlignment="1">
      <alignment horizontal="center"/>
    </xf>
    <xf numFmtId="0" fontId="10" fillId="0" borderId="3" xfId="0" applyFont="1" applyBorder="1" applyAlignment="1">
      <alignment horizontal="center"/>
    </xf>
    <xf numFmtId="164" fontId="10" fillId="0" borderId="3" xfId="0" applyNumberFormat="1" applyFont="1" applyBorder="1" applyAlignment="1">
      <alignment horizontal="center"/>
    </xf>
    <xf numFmtId="10" fontId="10" fillId="0" borderId="3" xfId="2" applyNumberFormat="1" applyFont="1" applyBorder="1" applyAlignment="1">
      <alignment horizontal="center"/>
    </xf>
    <xf numFmtId="10" fontId="13" fillId="0" borderId="3" xfId="2" applyNumberFormat="1" applyFont="1" applyBorder="1" applyAlignment="1">
      <alignment horizontal="center"/>
    </xf>
    <xf numFmtId="10" fontId="3" fillId="0" borderId="0" xfId="2" applyNumberFormat="1" applyFont="1"/>
    <xf numFmtId="164" fontId="0" fillId="0" borderId="0" xfId="0" applyNumberFormat="1" applyFont="1" applyBorder="1" applyAlignment="1">
      <alignment horizontal="center"/>
    </xf>
    <xf numFmtId="164" fontId="0" fillId="0" borderId="0" xfId="0" applyNumberFormat="1" applyFont="1" applyBorder="1" applyAlignment="1"/>
    <xf numFmtId="164" fontId="8" fillId="0" borderId="0" xfId="0" applyNumberFormat="1" applyFont="1" applyBorder="1" applyAlignment="1"/>
    <xf numFmtId="10" fontId="8" fillId="0" borderId="0" xfId="2" applyNumberFormat="1" applyFont="1" applyBorder="1" applyAlignment="1"/>
    <xf numFmtId="164" fontId="13" fillId="0" borderId="3" xfId="0" applyNumberFormat="1" applyFont="1" applyBorder="1" applyAlignment="1">
      <alignment horizontal="center"/>
    </xf>
    <xf numFmtId="0" fontId="15" fillId="0" borderId="7" xfId="0" applyFont="1" applyBorder="1" applyAlignment="1">
      <alignment horizontal="center"/>
    </xf>
    <xf numFmtId="0" fontId="14" fillId="0" borderId="3" xfId="0" applyFont="1" applyBorder="1" applyAlignment="1">
      <alignment horizontal="center"/>
    </xf>
    <xf numFmtId="164" fontId="15" fillId="0" borderId="8" xfId="0" applyNumberFormat="1" applyFont="1" applyBorder="1" applyAlignment="1">
      <alignment horizontal="center"/>
    </xf>
    <xf numFmtId="164" fontId="14" fillId="0" borderId="3" xfId="0" applyNumberFormat="1" applyFont="1" applyBorder="1" applyAlignment="1">
      <alignment horizontal="center"/>
    </xf>
    <xf numFmtId="0" fontId="15" fillId="0" borderId="3" xfId="0" applyFont="1" applyBorder="1" applyAlignment="1">
      <alignment horizontal="center"/>
    </xf>
    <xf numFmtId="164" fontId="15" fillId="0" borderId="3" xfId="0" applyNumberFormat="1" applyFont="1" applyBorder="1" applyAlignment="1">
      <alignment horizontal="center"/>
    </xf>
    <xf numFmtId="10" fontId="4" fillId="0" borderId="0" xfId="2" applyNumberFormat="1" applyFont="1"/>
    <xf numFmtId="0" fontId="0" fillId="0" borderId="0" xfId="0" applyBorder="1" applyAlignment="1"/>
    <xf numFmtId="0" fontId="11" fillId="0" borderId="0" xfId="0" applyFont="1" applyBorder="1" applyAlignment="1"/>
    <xf numFmtId="0" fontId="0" fillId="0" borderId="0" xfId="0" applyBorder="1"/>
    <xf numFmtId="10" fontId="0" fillId="0" borderId="0" xfId="2" applyNumberFormat="1" applyFont="1"/>
    <xf numFmtId="0" fontId="3" fillId="0" borderId="2" xfId="0" applyFont="1" applyBorder="1" applyAlignment="1">
      <alignment horizontal="center" vertical="center"/>
    </xf>
    <xf numFmtId="0" fontId="4" fillId="0" borderId="0" xfId="0" applyFont="1" applyAlignment="1">
      <alignment horizontal="left" wrapText="1"/>
    </xf>
    <xf numFmtId="0" fontId="5" fillId="0" borderId="1" xfId="0" applyFont="1" applyBorder="1" applyAlignment="1">
      <alignment horizontal="center"/>
    </xf>
    <xf numFmtId="0" fontId="5" fillId="0" borderId="2" xfId="0" applyFont="1" applyBorder="1" applyAlignment="1">
      <alignment horizontal="center"/>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9" fillId="0" borderId="0" xfId="0" applyFont="1" applyBorder="1" applyAlignment="1">
      <alignment horizontal="left" vertical="top" wrapText="1"/>
    </xf>
    <xf numFmtId="0" fontId="10" fillId="0" borderId="3" xfId="0" applyFont="1" applyBorder="1" applyAlignment="1">
      <alignment horizontal="center" wrapText="1"/>
    </xf>
    <xf numFmtId="0" fontId="14" fillId="0" borderId="9" xfId="0" applyFont="1" applyBorder="1" applyAlignment="1">
      <alignment horizontal="center" wrapText="1"/>
    </xf>
    <xf numFmtId="0" fontId="14" fillId="0" borderId="10" xfId="0" applyFont="1" applyBorder="1" applyAlignment="1">
      <alignment horizontal="center" wrapText="1"/>
    </xf>
    <xf numFmtId="0" fontId="14" fillId="0" borderId="11" xfId="0" applyFont="1" applyBorder="1" applyAlignment="1">
      <alignment horizontal="center" wrapText="1"/>
    </xf>
    <xf numFmtId="0" fontId="8" fillId="0" borderId="3" xfId="0" applyFont="1" applyBorder="1" applyAlignment="1">
      <alignment horizontal="center"/>
    </xf>
    <xf numFmtId="0" fontId="0" fillId="0" borderId="3" xfId="0" applyBorder="1" applyAlignment="1">
      <alignment horizontal="center"/>
    </xf>
    <xf numFmtId="0" fontId="11" fillId="0" borderId="3" xfId="0" applyFont="1" applyBorder="1" applyAlignment="1">
      <alignment horizontal="center"/>
    </xf>
    <xf numFmtId="0" fontId="1" fillId="0" borderId="3" xfId="0" applyFont="1" applyBorder="1" applyAlignment="1">
      <alignment horizontal="center"/>
    </xf>
    <xf numFmtId="0" fontId="11" fillId="0" borderId="3" xfId="0" applyFont="1" applyBorder="1" applyAlignment="1">
      <alignment horizontal="center" wrapText="1"/>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cellXfs>
  <cellStyles count="3">
    <cellStyle name="Normal" xfId="0" builtinId="0"/>
    <cellStyle name="Normal 10"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7030A0"/>
    <pageSetUpPr fitToPage="1"/>
  </sheetPr>
  <dimension ref="A1:S9"/>
  <sheetViews>
    <sheetView topLeftCell="B1" workbookViewId="0">
      <selection activeCell="H14" sqref="H14"/>
    </sheetView>
  </sheetViews>
  <sheetFormatPr defaultColWidth="9.140625" defaultRowHeight="19.5"/>
  <cols>
    <col min="1" max="1" width="9.140625" style="3" hidden="1" customWidth="1"/>
    <col min="2" max="2" width="18.28515625" style="3" customWidth="1"/>
    <col min="3" max="3" width="14.140625" style="3" customWidth="1"/>
    <col min="4" max="4" width="11.5703125" style="3" customWidth="1"/>
    <col min="5" max="5" width="10.85546875" style="3" customWidth="1"/>
    <col min="6" max="6" width="12.140625" style="3" bestFit="1" customWidth="1"/>
    <col min="7" max="7" width="12.42578125" style="3" customWidth="1"/>
    <col min="8" max="8" width="11.5703125" style="3" bestFit="1" customWidth="1"/>
    <col min="9" max="9" width="10.7109375" style="3" bestFit="1" customWidth="1"/>
    <col min="10" max="15" width="10.85546875" style="3" customWidth="1"/>
    <col min="16" max="16" width="10.7109375" style="3" bestFit="1" customWidth="1"/>
    <col min="17" max="17" width="22.85546875" style="3" customWidth="1"/>
    <col min="18" max="18" width="20.85546875" style="3" customWidth="1"/>
    <col min="19" max="19" width="9.140625" style="3" customWidth="1"/>
    <col min="20" max="16384" width="9.140625" style="3"/>
  </cols>
  <sheetData>
    <row r="1" spans="2:19" ht="34.5" customHeight="1">
      <c r="B1" s="70" t="s">
        <v>52</v>
      </c>
      <c r="C1" s="70"/>
      <c r="D1" s="70"/>
      <c r="E1" s="70"/>
      <c r="F1" s="70"/>
      <c r="G1" s="70"/>
      <c r="H1" s="70"/>
      <c r="I1" s="70"/>
      <c r="J1" s="70"/>
      <c r="K1" s="70"/>
      <c r="L1" s="70"/>
      <c r="M1" s="70"/>
      <c r="N1" s="70"/>
      <c r="O1" s="70"/>
      <c r="P1" s="70"/>
      <c r="Q1" s="70"/>
      <c r="R1" s="70"/>
    </row>
    <row r="2" spans="2:19" s="9" customFormat="1" ht="78" customHeight="1">
      <c r="B2" s="4" t="s">
        <v>0</v>
      </c>
      <c r="C2" s="5" t="s">
        <v>38</v>
      </c>
      <c r="D2" s="6" t="s">
        <v>39</v>
      </c>
      <c r="E2" s="21" t="s">
        <v>40</v>
      </c>
      <c r="F2" s="21" t="s">
        <v>41</v>
      </c>
      <c r="G2" s="21" t="s">
        <v>42</v>
      </c>
      <c r="H2" s="21" t="s">
        <v>43</v>
      </c>
      <c r="I2" s="21" t="s">
        <v>68</v>
      </c>
      <c r="J2" s="21" t="s">
        <v>44</v>
      </c>
      <c r="K2" s="21" t="s">
        <v>45</v>
      </c>
      <c r="L2" s="22" t="s">
        <v>46</v>
      </c>
      <c r="M2" s="22" t="s">
        <v>47</v>
      </c>
      <c r="N2" s="22" t="s">
        <v>48</v>
      </c>
      <c r="O2" s="22" t="s">
        <v>49</v>
      </c>
      <c r="P2" s="22" t="s">
        <v>50</v>
      </c>
      <c r="Q2" s="22" t="s">
        <v>51</v>
      </c>
      <c r="R2" s="8" t="s">
        <v>11</v>
      </c>
    </row>
    <row r="3" spans="2:19" ht="84" customHeight="1">
      <c r="B3" s="10" t="s">
        <v>12</v>
      </c>
      <c r="C3" s="10" t="s">
        <v>21</v>
      </c>
      <c r="D3" s="27">
        <v>1</v>
      </c>
      <c r="E3" s="26">
        <v>8747.1460000000006</v>
      </c>
      <c r="F3" s="26">
        <v>8937.9763199999998</v>
      </c>
      <c r="G3" s="26">
        <v>9243.8891999999996</v>
      </c>
      <c r="H3" s="26">
        <v>9243.8891999999996</v>
      </c>
      <c r="I3" s="26">
        <v>9243.8891999999996</v>
      </c>
      <c r="J3" s="26">
        <v>9270.490319999999</v>
      </c>
      <c r="K3" s="26">
        <v>8911.3752000000004</v>
      </c>
      <c r="L3" s="26">
        <v>8911.3752000000004</v>
      </c>
      <c r="M3" s="26">
        <v>8911.3752000000004</v>
      </c>
      <c r="N3" s="26">
        <v>8937.9763199999998</v>
      </c>
      <c r="O3" s="26">
        <v>9243.8891999999996</v>
      </c>
      <c r="P3" s="26">
        <v>9243.8891999999996</v>
      </c>
      <c r="Q3" s="26" t="s">
        <v>71</v>
      </c>
      <c r="R3" s="28" t="s">
        <v>73</v>
      </c>
      <c r="S3" s="12"/>
    </row>
    <row r="5" spans="2:19" ht="22.5" customHeight="1">
      <c r="B5" s="71" t="s">
        <v>72</v>
      </c>
      <c r="C5" s="71"/>
      <c r="D5" s="71"/>
      <c r="E5" s="71"/>
      <c r="F5" s="71"/>
      <c r="G5" s="71"/>
      <c r="H5" s="71"/>
      <c r="I5" s="71"/>
      <c r="J5" s="71"/>
      <c r="K5" s="71"/>
      <c r="L5" s="71"/>
      <c r="M5" s="71"/>
      <c r="N5" s="71"/>
      <c r="O5" s="71"/>
      <c r="P5" s="71"/>
      <c r="Q5" s="71"/>
      <c r="R5" s="71"/>
    </row>
    <row r="8" spans="2:19">
      <c r="L8" s="20"/>
    </row>
    <row r="9" spans="2:19">
      <c r="L9" s="20"/>
    </row>
  </sheetData>
  <mergeCells count="2">
    <mergeCell ref="B1:R1"/>
    <mergeCell ref="B5:R5"/>
  </mergeCells>
  <phoneticPr fontId="6" type="noConversion"/>
  <printOptions horizontalCentered="1"/>
  <pageMargins left="0.86614173228346503" right="0.27559055118110198" top="0.74803149606299202" bottom="0.74803149606299202" header="0.31496062992126" footer="0.31496062992126"/>
  <pageSetup paperSize="9" scale="60" orientation="landscape" r:id="rId1"/>
  <headerFooter>
    <oddFooter>&amp;L&amp;6&amp;Z&amp;F</oddFooter>
  </headerFooter>
</worksheet>
</file>

<file path=xl/worksheets/sheet2.xml><?xml version="1.0" encoding="utf-8"?>
<worksheet xmlns="http://schemas.openxmlformats.org/spreadsheetml/2006/main" xmlns:r="http://schemas.openxmlformats.org/officeDocument/2006/relationships">
  <dimension ref="B1:O16"/>
  <sheetViews>
    <sheetView topLeftCell="A4" workbookViewId="0">
      <selection activeCell="H6" sqref="H6"/>
    </sheetView>
  </sheetViews>
  <sheetFormatPr defaultRowHeight="15"/>
  <cols>
    <col min="2" max="2" width="17" customWidth="1"/>
    <col min="3" max="3" width="14.28515625" style="1" customWidth="1"/>
    <col min="4" max="4" width="15.28515625" customWidth="1"/>
    <col min="5" max="5" width="10.85546875" customWidth="1"/>
    <col min="6" max="6" width="9.85546875" customWidth="1"/>
    <col min="7" max="7" width="9.5703125" customWidth="1"/>
    <col min="8" max="8" width="10.85546875" customWidth="1"/>
    <col min="9" max="9" width="11.42578125" customWidth="1"/>
    <col min="10" max="10" width="10.7109375" customWidth="1"/>
    <col min="11" max="11" width="11" customWidth="1"/>
    <col min="12" max="12" width="11.5703125" customWidth="1"/>
    <col min="13" max="13" width="9.5703125" customWidth="1"/>
    <col min="14" max="14" width="10.42578125" customWidth="1"/>
    <col min="15" max="15" width="26" customWidth="1"/>
  </cols>
  <sheetData>
    <row r="1" spans="2:15" ht="29.25" customHeight="1">
      <c r="B1" s="72" t="s">
        <v>6</v>
      </c>
      <c r="C1" s="73"/>
      <c r="D1" s="73"/>
      <c r="E1" s="73"/>
      <c r="F1" s="73"/>
      <c r="G1" s="73"/>
      <c r="H1" s="73"/>
      <c r="I1" s="73"/>
      <c r="J1" s="73"/>
      <c r="K1" s="73"/>
      <c r="L1" s="73"/>
      <c r="M1" s="73"/>
      <c r="N1" s="73"/>
    </row>
    <row r="2" spans="2:15" s="2" customFormat="1" ht="83.25" customHeight="1">
      <c r="B2" s="7" t="s">
        <v>0</v>
      </c>
      <c r="C2" s="6" t="s">
        <v>14</v>
      </c>
      <c r="D2" s="7" t="s">
        <v>13</v>
      </c>
      <c r="E2" s="7" t="s">
        <v>36</v>
      </c>
      <c r="F2" s="7" t="s">
        <v>1</v>
      </c>
      <c r="G2" s="7" t="s">
        <v>2</v>
      </c>
      <c r="H2" s="7" t="s">
        <v>3</v>
      </c>
      <c r="I2" s="7" t="s">
        <v>4</v>
      </c>
      <c r="J2" s="7" t="s">
        <v>15</v>
      </c>
      <c r="K2" s="7" t="s">
        <v>16</v>
      </c>
      <c r="L2" s="7" t="s">
        <v>17</v>
      </c>
      <c r="M2" s="7" t="s">
        <v>18</v>
      </c>
      <c r="N2" s="7" t="s">
        <v>19</v>
      </c>
      <c r="O2" s="13" t="s">
        <v>11</v>
      </c>
    </row>
    <row r="3" spans="2:15" ht="63" customHeight="1">
      <c r="B3" s="5" t="s">
        <v>7</v>
      </c>
      <c r="C3" s="14">
        <v>220</v>
      </c>
      <c r="D3" s="8">
        <f>C3*0.5389</f>
        <v>118.55800000000001</v>
      </c>
      <c r="E3" s="11" t="s">
        <v>20</v>
      </c>
      <c r="F3" s="11" t="s">
        <v>20</v>
      </c>
      <c r="G3" s="11" t="s">
        <v>20</v>
      </c>
      <c r="H3" s="11" t="s">
        <v>20</v>
      </c>
      <c r="I3" s="11" t="s">
        <v>20</v>
      </c>
      <c r="J3" s="11" t="s">
        <v>20</v>
      </c>
      <c r="K3" s="11" t="s">
        <v>20</v>
      </c>
      <c r="L3" s="11" t="s">
        <v>20</v>
      </c>
      <c r="M3" s="11" t="s">
        <v>20</v>
      </c>
      <c r="N3" s="11" t="s">
        <v>20</v>
      </c>
      <c r="O3" s="74" t="s">
        <v>37</v>
      </c>
    </row>
    <row r="4" spans="2:15" ht="54" customHeight="1">
      <c r="B4" s="5" t="s">
        <v>8</v>
      </c>
      <c r="C4" s="14">
        <v>370</v>
      </c>
      <c r="D4" s="8">
        <f>C4*0.5389</f>
        <v>199.39300000000003</v>
      </c>
      <c r="E4" s="11" t="s">
        <v>20</v>
      </c>
      <c r="F4" s="11" t="s">
        <v>20</v>
      </c>
      <c r="G4" s="11" t="s">
        <v>20</v>
      </c>
      <c r="H4" s="11" t="s">
        <v>20</v>
      </c>
      <c r="I4" s="11" t="s">
        <v>20</v>
      </c>
      <c r="J4" s="11" t="s">
        <v>20</v>
      </c>
      <c r="K4" s="11" t="s">
        <v>20</v>
      </c>
      <c r="L4" s="11" t="s">
        <v>20</v>
      </c>
      <c r="M4" s="11" t="s">
        <v>20</v>
      </c>
      <c r="N4" s="11" t="s">
        <v>20</v>
      </c>
      <c r="O4" s="75"/>
    </row>
    <row r="5" spans="2:15" ht="42.75" customHeight="1">
      <c r="B5" s="5" t="s">
        <v>9</v>
      </c>
      <c r="C5" s="14">
        <v>464</v>
      </c>
      <c r="D5" s="8">
        <f t="shared" ref="D5:D6" si="0">C5*0.5389</f>
        <v>250.04960000000003</v>
      </c>
      <c r="E5" s="11" t="s">
        <v>20</v>
      </c>
      <c r="F5" s="11" t="s">
        <v>20</v>
      </c>
      <c r="G5" s="11" t="s">
        <v>20</v>
      </c>
      <c r="H5" s="11" t="s">
        <v>20</v>
      </c>
      <c r="I5" s="11" t="s">
        <v>20</v>
      </c>
      <c r="J5" s="11" t="s">
        <v>20</v>
      </c>
      <c r="K5" s="11" t="s">
        <v>20</v>
      </c>
      <c r="L5" s="11" t="s">
        <v>20</v>
      </c>
      <c r="M5" s="11" t="s">
        <v>20</v>
      </c>
      <c r="N5" s="11" t="s">
        <v>20</v>
      </c>
      <c r="O5" s="75"/>
    </row>
    <row r="6" spans="2:15" ht="93.75" customHeight="1">
      <c r="B6" s="5" t="s">
        <v>10</v>
      </c>
      <c r="C6" s="14">
        <v>444.08</v>
      </c>
      <c r="D6" s="8">
        <f t="shared" si="0"/>
        <v>239.31471200000001</v>
      </c>
      <c r="E6" s="11" t="s">
        <v>20</v>
      </c>
      <c r="F6" s="11" t="s">
        <v>20</v>
      </c>
      <c r="G6" s="11" t="s">
        <v>20</v>
      </c>
      <c r="H6" s="11" t="s">
        <v>20</v>
      </c>
      <c r="I6" s="11" t="s">
        <v>20</v>
      </c>
      <c r="J6" s="11" t="s">
        <v>20</v>
      </c>
      <c r="K6" s="11" t="s">
        <v>20</v>
      </c>
      <c r="L6" s="11" t="s">
        <v>20</v>
      </c>
      <c r="M6" s="11" t="s">
        <v>20</v>
      </c>
      <c r="N6" s="11" t="s">
        <v>20</v>
      </c>
      <c r="O6" s="76"/>
    </row>
    <row r="7" spans="2:15" ht="24.75" customHeight="1">
      <c r="B7" s="5"/>
      <c r="C7" s="14"/>
      <c r="D7" s="15"/>
      <c r="E7" s="16"/>
      <c r="F7" s="16"/>
      <c r="G7" s="16"/>
      <c r="H7" s="16"/>
      <c r="I7" s="16"/>
      <c r="J7" s="16"/>
      <c r="K7" s="16"/>
      <c r="L7" s="16"/>
      <c r="M7" s="16"/>
      <c r="N7" s="16"/>
      <c r="O7" s="17"/>
    </row>
    <row r="8" spans="2:15" ht="20.25" customHeight="1">
      <c r="B8" s="5" t="s">
        <v>5</v>
      </c>
      <c r="C8" s="18">
        <f>+SUM(C3:C6)</f>
        <v>1498.08</v>
      </c>
      <c r="D8" s="15">
        <f>+SUM(D3:D6)</f>
        <v>807.31531200000006</v>
      </c>
      <c r="E8" s="15">
        <f t="shared" ref="E8:N8" si="1">+SUM(E3:E6)</f>
        <v>0</v>
      </c>
      <c r="F8" s="15">
        <f t="shared" si="1"/>
        <v>0</v>
      </c>
      <c r="G8" s="15">
        <f t="shared" si="1"/>
        <v>0</v>
      </c>
      <c r="H8" s="15">
        <f t="shared" si="1"/>
        <v>0</v>
      </c>
      <c r="I8" s="15">
        <f t="shared" si="1"/>
        <v>0</v>
      </c>
      <c r="J8" s="15">
        <f t="shared" si="1"/>
        <v>0</v>
      </c>
      <c r="K8" s="15">
        <f t="shared" si="1"/>
        <v>0</v>
      </c>
      <c r="L8" s="15">
        <f t="shared" si="1"/>
        <v>0</v>
      </c>
      <c r="M8" s="15">
        <f t="shared" si="1"/>
        <v>0</v>
      </c>
      <c r="N8" s="15">
        <f t="shared" si="1"/>
        <v>0</v>
      </c>
      <c r="O8" s="17"/>
    </row>
    <row r="9" spans="2:15" ht="19.5">
      <c r="B9" s="3"/>
      <c r="C9" s="19"/>
      <c r="D9" s="3"/>
      <c r="E9" s="3"/>
      <c r="F9" s="3"/>
      <c r="G9" s="3"/>
      <c r="H9" s="3"/>
      <c r="I9" s="3"/>
      <c r="J9" s="3"/>
      <c r="K9" s="3"/>
      <c r="L9" s="3"/>
      <c r="M9" s="3"/>
      <c r="N9" s="3"/>
      <c r="O9" s="3"/>
    </row>
    <row r="10" spans="2:15" ht="19.5">
      <c r="B10" s="71"/>
      <c r="C10" s="71"/>
      <c r="D10" s="71"/>
      <c r="E10" s="71"/>
      <c r="F10" s="71"/>
      <c r="G10" s="71"/>
      <c r="H10" s="71"/>
      <c r="I10" s="71"/>
      <c r="J10" s="71"/>
      <c r="K10" s="3"/>
      <c r="L10" s="3"/>
      <c r="M10" s="3"/>
      <c r="N10" s="3"/>
      <c r="O10" s="3"/>
    </row>
    <row r="11" spans="2:15" ht="19.5">
      <c r="B11" s="3" t="s">
        <v>22</v>
      </c>
      <c r="C11" s="19"/>
      <c r="D11" s="3"/>
      <c r="E11" s="3"/>
      <c r="F11" s="3"/>
      <c r="G11" s="3"/>
      <c r="H11" s="3"/>
      <c r="I11" s="3"/>
      <c r="J11" s="3"/>
      <c r="K11" s="3"/>
      <c r="L11" s="3"/>
      <c r="M11" s="3"/>
      <c r="N11" s="3"/>
      <c r="O11" s="3"/>
    </row>
    <row r="12" spans="2:15" ht="19.5">
      <c r="B12" s="3"/>
      <c r="C12" s="19" t="s">
        <v>33</v>
      </c>
      <c r="D12" s="3" t="s">
        <v>34</v>
      </c>
      <c r="E12" s="3" t="s">
        <v>35</v>
      </c>
      <c r="F12" s="3"/>
      <c r="G12" s="3"/>
      <c r="H12" s="3"/>
      <c r="I12" s="3"/>
      <c r="J12" s="3"/>
      <c r="K12" s="3"/>
      <c r="L12" s="3"/>
      <c r="M12" s="3"/>
      <c r="N12" s="3"/>
      <c r="O12" s="3"/>
    </row>
    <row r="13" spans="2:15" ht="19.5">
      <c r="B13" s="3">
        <v>1</v>
      </c>
      <c r="C13" s="19" t="s">
        <v>23</v>
      </c>
      <c r="D13" s="3" t="s">
        <v>24</v>
      </c>
      <c r="E13" s="3" t="s">
        <v>25</v>
      </c>
      <c r="F13" s="3"/>
      <c r="G13" s="3"/>
      <c r="H13" s="3"/>
      <c r="I13" s="3"/>
      <c r="J13" s="3"/>
      <c r="K13" s="3"/>
      <c r="L13" s="3"/>
      <c r="M13" s="3"/>
      <c r="N13" s="3"/>
      <c r="O13" s="3"/>
    </row>
    <row r="14" spans="2:15" ht="19.5">
      <c r="B14" s="3">
        <v>2</v>
      </c>
      <c r="C14" s="19" t="s">
        <v>26</v>
      </c>
      <c r="D14" s="3" t="s">
        <v>27</v>
      </c>
      <c r="E14" s="3" t="s">
        <v>28</v>
      </c>
      <c r="F14" s="3"/>
      <c r="G14" s="3"/>
      <c r="H14" s="3"/>
      <c r="I14" s="3"/>
      <c r="J14" s="3"/>
      <c r="K14" s="3"/>
      <c r="L14" s="3"/>
      <c r="M14" s="3"/>
      <c r="N14" s="3"/>
      <c r="O14" s="3"/>
    </row>
    <row r="15" spans="2:15" ht="19.5">
      <c r="B15" s="3">
        <v>3</v>
      </c>
      <c r="C15" s="19" t="s">
        <v>29</v>
      </c>
      <c r="D15" s="3" t="s">
        <v>30</v>
      </c>
      <c r="E15" s="3" t="s">
        <v>25</v>
      </c>
      <c r="F15" s="3"/>
      <c r="G15" s="3"/>
      <c r="H15" s="3"/>
      <c r="I15" s="3"/>
      <c r="J15" s="3"/>
      <c r="K15" s="3"/>
      <c r="L15" s="3"/>
      <c r="M15" s="3"/>
      <c r="N15" s="3"/>
      <c r="O15" s="3"/>
    </row>
    <row r="16" spans="2:15" ht="19.5">
      <c r="B16" s="3">
        <v>4</v>
      </c>
      <c r="C16" s="19" t="s">
        <v>31</v>
      </c>
      <c r="D16" s="3" t="s">
        <v>10</v>
      </c>
      <c r="E16" s="3" t="s">
        <v>32</v>
      </c>
      <c r="F16" s="3"/>
      <c r="G16" s="3"/>
      <c r="H16" s="3"/>
      <c r="I16" s="3"/>
      <c r="J16" s="3"/>
      <c r="K16" s="3"/>
      <c r="L16" s="3"/>
      <c r="M16" s="3"/>
      <c r="N16" s="3"/>
      <c r="O16" s="3"/>
    </row>
  </sheetData>
  <mergeCells count="3">
    <mergeCell ref="B1:N1"/>
    <mergeCell ref="B10:J10"/>
    <mergeCell ref="O3:O6"/>
  </mergeCells>
  <printOptions horizontalCentered="1"/>
  <pageMargins left="1.25" right="0.2" top="0.74803149606299202" bottom="0.74803149606299202" header="0.23622047244094499" footer="0.31496062992126"/>
  <pageSetup paperSize="5" scale="84" orientation="landscape"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D18" sqref="D18"/>
    </sheetView>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B3:X19"/>
  <sheetViews>
    <sheetView topLeftCell="F1" workbookViewId="0">
      <selection activeCell="F1" sqref="A1:XFD1048576"/>
    </sheetView>
  </sheetViews>
  <sheetFormatPr defaultRowHeight="15"/>
  <cols>
    <col min="2" max="2" width="6.7109375" bestFit="1" customWidth="1"/>
    <col min="3" max="3" width="14.28515625" bestFit="1" customWidth="1"/>
    <col min="4" max="4" width="8.7109375" bestFit="1" customWidth="1"/>
    <col min="5" max="5" width="10" bestFit="1" customWidth="1"/>
    <col min="6" max="6" width="12" bestFit="1" customWidth="1"/>
    <col min="7" max="7" width="11.85546875" customWidth="1"/>
    <col min="8" max="8" width="10.5703125" customWidth="1"/>
    <col min="9" max="9" width="15" customWidth="1"/>
    <col min="17" max="17" width="11.7109375" customWidth="1"/>
    <col min="18" max="18" width="10.42578125" customWidth="1"/>
    <col min="19" max="19" width="11.5703125" customWidth="1"/>
    <col min="20" max="20" width="11.140625" customWidth="1"/>
    <col min="21" max="21" width="9.28515625" customWidth="1"/>
    <col min="22" max="22" width="10.85546875" customWidth="1"/>
  </cols>
  <sheetData>
    <row r="3" spans="2:24">
      <c r="N3">
        <v>1</v>
      </c>
      <c r="O3">
        <v>7.2499999999999995E-2</v>
      </c>
      <c r="P3">
        <f>N3-O3</f>
        <v>0.92749999999999999</v>
      </c>
    </row>
    <row r="4" spans="2:24">
      <c r="N4">
        <v>1</v>
      </c>
      <c r="O4">
        <v>5.7500000000000002E-2</v>
      </c>
      <c r="P4">
        <f>N4-O4</f>
        <v>0.9425</v>
      </c>
    </row>
    <row r="5" spans="2:24" ht="78">
      <c r="B5" s="8" t="s">
        <v>62</v>
      </c>
      <c r="C5" s="8" t="s">
        <v>63</v>
      </c>
      <c r="D5" s="8" t="s">
        <v>64</v>
      </c>
      <c r="E5" s="8" t="s">
        <v>65</v>
      </c>
      <c r="F5" s="8" t="s">
        <v>66</v>
      </c>
      <c r="G5" s="6" t="s">
        <v>69</v>
      </c>
      <c r="H5" s="6" t="s">
        <v>70</v>
      </c>
      <c r="I5" s="6" t="s">
        <v>67</v>
      </c>
      <c r="J5" s="3"/>
    </row>
    <row r="6" spans="2:24" ht="19.5">
      <c r="B6" s="18">
        <v>1</v>
      </c>
      <c r="C6" s="18" t="s">
        <v>3</v>
      </c>
      <c r="D6" s="18" t="s">
        <v>53</v>
      </c>
      <c r="E6" s="18" t="s">
        <v>54</v>
      </c>
      <c r="F6" s="18">
        <v>50</v>
      </c>
      <c r="G6" s="18"/>
      <c r="H6" s="18"/>
      <c r="I6" s="18">
        <v>8747.1460000000006</v>
      </c>
      <c r="J6" s="3"/>
      <c r="L6" s="29">
        <v>30</v>
      </c>
      <c r="M6" s="29">
        <v>31</v>
      </c>
      <c r="N6" s="29">
        <v>30</v>
      </c>
      <c r="O6" s="29">
        <v>31</v>
      </c>
      <c r="P6" s="29">
        <v>31</v>
      </c>
      <c r="Q6" s="29">
        <v>30</v>
      </c>
      <c r="R6" s="29">
        <v>31</v>
      </c>
      <c r="S6" s="29">
        <v>30</v>
      </c>
      <c r="T6" s="29">
        <v>31</v>
      </c>
      <c r="U6" s="29">
        <v>31</v>
      </c>
      <c r="V6" s="29">
        <v>28</v>
      </c>
      <c r="W6" s="29">
        <v>31</v>
      </c>
      <c r="X6" s="30"/>
    </row>
    <row r="7" spans="2:24" ht="19.5">
      <c r="B7" s="18">
        <v>2</v>
      </c>
      <c r="C7" s="18" t="s">
        <v>4</v>
      </c>
      <c r="D7" s="18" t="s">
        <v>60</v>
      </c>
      <c r="E7" s="18" t="s">
        <v>54</v>
      </c>
      <c r="F7" s="18">
        <v>60</v>
      </c>
      <c r="G7" s="18">
        <v>366</v>
      </c>
      <c r="H7" s="25">
        <f>366-F7/2</f>
        <v>336</v>
      </c>
      <c r="I7" s="24">
        <f t="shared" ref="I7:I17" si="0">H7*27.144*0.98</f>
        <v>8937.9763199999998</v>
      </c>
      <c r="J7" s="3"/>
      <c r="L7" s="29" t="s">
        <v>74</v>
      </c>
      <c r="M7" s="29" t="s">
        <v>75</v>
      </c>
      <c r="N7" s="33" t="s">
        <v>76</v>
      </c>
      <c r="O7" s="33" t="s">
        <v>77</v>
      </c>
      <c r="P7" s="29" t="s">
        <v>78</v>
      </c>
      <c r="Q7" s="29" t="s">
        <v>79</v>
      </c>
      <c r="R7" s="29" t="s">
        <v>80</v>
      </c>
      <c r="S7" s="29" t="s">
        <v>81</v>
      </c>
      <c r="T7" s="29" t="s">
        <v>82</v>
      </c>
      <c r="U7" s="29" t="s">
        <v>83</v>
      </c>
      <c r="V7" s="33" t="s">
        <v>84</v>
      </c>
      <c r="W7" s="29" t="s">
        <v>85</v>
      </c>
      <c r="X7" s="30" t="s">
        <v>5</v>
      </c>
    </row>
    <row r="8" spans="2:24" ht="19.5">
      <c r="B8" s="18">
        <v>3</v>
      </c>
      <c r="C8" s="18" t="s">
        <v>15</v>
      </c>
      <c r="D8" s="18" t="s">
        <v>53</v>
      </c>
      <c r="E8" s="18" t="s">
        <v>61</v>
      </c>
      <c r="F8" s="18">
        <v>35</v>
      </c>
      <c r="G8" s="18">
        <v>365</v>
      </c>
      <c r="H8" s="25">
        <f t="shared" ref="H8:H17" si="1">G8-F8/2</f>
        <v>347.5</v>
      </c>
      <c r="I8" s="24">
        <f t="shared" si="0"/>
        <v>9243.8891999999996</v>
      </c>
      <c r="J8" s="3"/>
      <c r="L8" s="31">
        <f>28.8*0.9275*$L$6*0.98</f>
        <v>785.33280000000002</v>
      </c>
      <c r="M8" s="31">
        <f>28.8*0.9275425*$M$6*0.98</f>
        <v>811.54774512000006</v>
      </c>
      <c r="N8" s="31">
        <f>28.8*0.9275*$N$6*0.98*20/30</f>
        <v>523.55520000000001</v>
      </c>
      <c r="O8" s="31">
        <f>28.8*0.9275*$O$6*0.98*23.5/31</f>
        <v>615.17736000000002</v>
      </c>
      <c r="P8" s="31">
        <f>28.8*0.9275*$P$6*0.98</f>
        <v>811.51055999999994</v>
      </c>
      <c r="Q8" s="31">
        <f>28.8*0.9275*$Q$6*0.98</f>
        <v>785.33280000000002</v>
      </c>
      <c r="R8" s="31">
        <f>28.8*0.9275*$R$6*0.98</f>
        <v>811.51055999999994</v>
      </c>
      <c r="S8" s="31">
        <f>28.8*0.9275*$S$6*0.98</f>
        <v>785.33280000000002</v>
      </c>
      <c r="T8" s="31">
        <f>28.8*0.9275*$T$6*0.98</f>
        <v>811.51055999999994</v>
      </c>
      <c r="U8" s="31">
        <f>28.8*0.9275*$U$6*0.98</f>
        <v>811.51055999999994</v>
      </c>
      <c r="V8" s="31">
        <f>28.8*0.9275*$V$6*0.98</f>
        <v>732.97728000000006</v>
      </c>
      <c r="W8" s="31">
        <f>28.8*0.9275*$W$6*0.98</f>
        <v>811.51055999999994</v>
      </c>
      <c r="X8" s="32">
        <f>SUM(L8:W8)</f>
        <v>9096.8087851200016</v>
      </c>
    </row>
    <row r="9" spans="2:24" ht="19.5">
      <c r="B9" s="18">
        <v>4</v>
      </c>
      <c r="C9" s="18" t="s">
        <v>16</v>
      </c>
      <c r="D9" s="18" t="s">
        <v>60</v>
      </c>
      <c r="E9" s="18" t="s">
        <v>61</v>
      </c>
      <c r="F9" s="18">
        <v>35</v>
      </c>
      <c r="G9" s="18">
        <v>365</v>
      </c>
      <c r="H9" s="25">
        <f t="shared" si="1"/>
        <v>347.5</v>
      </c>
      <c r="I9" s="24">
        <f t="shared" si="0"/>
        <v>9243.8891999999996</v>
      </c>
      <c r="J9" s="3"/>
      <c r="L9" s="31">
        <f t="shared" ref="L9:L17" si="2">28.8*0.9275*$L$6*0.98</f>
        <v>785.33280000000002</v>
      </c>
      <c r="M9" s="31">
        <f t="shared" ref="M9:M17" si="3">28.8*0.9275425*$M$6*0.98</f>
        <v>811.54774512000006</v>
      </c>
      <c r="N9" s="31">
        <f t="shared" ref="N9:N11" si="4">28.8*0.9275*$N$6*0.98*20/30</f>
        <v>523.55520000000001</v>
      </c>
      <c r="O9" s="31">
        <f t="shared" ref="O9:O11" si="5">28.8*0.9275*$O$6*0.98*23.5/31</f>
        <v>615.17736000000002</v>
      </c>
      <c r="P9" s="31">
        <f t="shared" ref="P9:P17" si="6">28.8*0.9275*$P$6*0.98</f>
        <v>811.51055999999994</v>
      </c>
      <c r="Q9" s="31">
        <f t="shared" ref="Q9:Q17" si="7">28.8*0.9275*$Q$6*0.98</f>
        <v>785.33280000000002</v>
      </c>
      <c r="R9" s="31">
        <f t="shared" ref="R9:R17" si="8">28.8*0.9275*$R$6*0.98</f>
        <v>811.51055999999994</v>
      </c>
      <c r="S9" s="31">
        <f t="shared" ref="S9:S17" si="9">28.8*0.9275*$S$6*0.98</f>
        <v>785.33280000000002</v>
      </c>
      <c r="T9" s="31">
        <f t="shared" ref="T9:T17" si="10">28.8*0.9275*$T$6*0.98</f>
        <v>811.51055999999994</v>
      </c>
      <c r="U9" s="31">
        <f t="shared" ref="U9:U17" si="11">28.8*0.9275*$U$6*0.98</f>
        <v>811.51055999999994</v>
      </c>
      <c r="V9" s="31">
        <f t="shared" ref="V9:V10" si="12">28.8*0.9275*$V$6*0.98</f>
        <v>732.97728000000006</v>
      </c>
      <c r="W9" s="31">
        <f t="shared" ref="W9:W17" si="13">28.8*0.9275*$W$6*0.98</f>
        <v>811.51055999999994</v>
      </c>
      <c r="X9" s="32">
        <f t="shared" ref="X9:X17" si="14">SUM(L9:W9)</f>
        <v>9096.8087851200016</v>
      </c>
    </row>
    <row r="10" spans="2:24" ht="19.5">
      <c r="B10" s="18">
        <v>5</v>
      </c>
      <c r="C10" s="18" t="s">
        <v>17</v>
      </c>
      <c r="D10" s="18" t="s">
        <v>53</v>
      </c>
      <c r="E10" s="18" t="s">
        <v>61</v>
      </c>
      <c r="F10" s="18">
        <v>35</v>
      </c>
      <c r="G10" s="18">
        <v>365</v>
      </c>
      <c r="H10" s="25">
        <f t="shared" si="1"/>
        <v>347.5</v>
      </c>
      <c r="I10" s="24">
        <f t="shared" si="0"/>
        <v>9243.8891999999996</v>
      </c>
      <c r="J10" s="3"/>
      <c r="L10" s="31">
        <f t="shared" si="2"/>
        <v>785.33280000000002</v>
      </c>
      <c r="M10" s="31">
        <f t="shared" si="3"/>
        <v>811.54774512000006</v>
      </c>
      <c r="N10" s="31">
        <f t="shared" si="4"/>
        <v>523.55520000000001</v>
      </c>
      <c r="O10" s="31">
        <f t="shared" si="5"/>
        <v>615.17736000000002</v>
      </c>
      <c r="P10" s="31">
        <f t="shared" si="6"/>
        <v>811.51055999999994</v>
      </c>
      <c r="Q10" s="31">
        <f t="shared" si="7"/>
        <v>785.33280000000002</v>
      </c>
      <c r="R10" s="31">
        <f t="shared" si="8"/>
        <v>811.51055999999994</v>
      </c>
      <c r="S10" s="31">
        <f t="shared" si="9"/>
        <v>785.33280000000002</v>
      </c>
      <c r="T10" s="31">
        <f t="shared" si="10"/>
        <v>811.51055999999994</v>
      </c>
      <c r="U10" s="31">
        <f t="shared" si="11"/>
        <v>811.51055999999994</v>
      </c>
      <c r="V10" s="31">
        <f t="shared" si="12"/>
        <v>732.97728000000006</v>
      </c>
      <c r="W10" s="31">
        <f t="shared" si="13"/>
        <v>811.51055999999994</v>
      </c>
      <c r="X10" s="32">
        <f t="shared" si="14"/>
        <v>9096.8087851200016</v>
      </c>
    </row>
    <row r="11" spans="2:24" ht="19.5">
      <c r="B11" s="18">
        <v>6</v>
      </c>
      <c r="C11" s="18" t="s">
        <v>18</v>
      </c>
      <c r="D11" s="18" t="s">
        <v>60</v>
      </c>
      <c r="E11" s="18" t="s">
        <v>61</v>
      </c>
      <c r="F11" s="18">
        <v>35</v>
      </c>
      <c r="G11" s="18">
        <v>366</v>
      </c>
      <c r="H11" s="25">
        <f t="shared" si="1"/>
        <v>348.5</v>
      </c>
      <c r="I11" s="24">
        <f t="shared" si="0"/>
        <v>9270.490319999999</v>
      </c>
      <c r="J11" s="3"/>
      <c r="L11" s="31">
        <f t="shared" si="2"/>
        <v>785.33280000000002</v>
      </c>
      <c r="M11" s="31">
        <f t="shared" si="3"/>
        <v>811.54774512000006</v>
      </c>
      <c r="N11" s="31">
        <f t="shared" si="4"/>
        <v>523.55520000000001</v>
      </c>
      <c r="O11" s="31">
        <f t="shared" si="5"/>
        <v>615.17736000000002</v>
      </c>
      <c r="P11" s="31">
        <f t="shared" si="6"/>
        <v>811.51055999999994</v>
      </c>
      <c r="Q11" s="31">
        <f t="shared" si="7"/>
        <v>785.33280000000002</v>
      </c>
      <c r="R11" s="31">
        <f t="shared" si="8"/>
        <v>811.51055999999994</v>
      </c>
      <c r="S11" s="31">
        <f t="shared" si="9"/>
        <v>785.33280000000002</v>
      </c>
      <c r="T11" s="31">
        <f t="shared" si="10"/>
        <v>811.51055999999994</v>
      </c>
      <c r="U11" s="31">
        <f t="shared" si="11"/>
        <v>811.51055999999994</v>
      </c>
      <c r="V11" s="31">
        <f>28.8*0.9275*$V$6*0.98*29/28</f>
        <v>759.15503999999999</v>
      </c>
      <c r="W11" s="31">
        <f t="shared" si="13"/>
        <v>811.51055999999994</v>
      </c>
      <c r="X11" s="32">
        <f t="shared" si="14"/>
        <v>9122.9865451200003</v>
      </c>
    </row>
    <row r="12" spans="2:24" ht="19.5">
      <c r="B12" s="18">
        <v>7</v>
      </c>
      <c r="C12" s="18" t="s">
        <v>19</v>
      </c>
      <c r="D12" s="18" t="s">
        <v>53</v>
      </c>
      <c r="E12" s="18" t="s">
        <v>54</v>
      </c>
      <c r="F12" s="18">
        <v>60</v>
      </c>
      <c r="G12" s="18">
        <v>365</v>
      </c>
      <c r="H12" s="25">
        <f t="shared" si="1"/>
        <v>335</v>
      </c>
      <c r="I12" s="24">
        <f t="shared" si="0"/>
        <v>8911.3752000000004</v>
      </c>
      <c r="J12" s="3"/>
      <c r="L12" s="31">
        <f t="shared" si="2"/>
        <v>785.33280000000002</v>
      </c>
      <c r="M12" s="31">
        <f t="shared" si="3"/>
        <v>811.54774512000006</v>
      </c>
      <c r="N12" s="31">
        <f>28.8*0.9275*$N$6*0.98*15/30</f>
        <v>392.66640000000001</v>
      </c>
      <c r="O12" s="31">
        <f>28.8*0.9275*$O$6*0.98*16/31</f>
        <v>418.84415999999999</v>
      </c>
      <c r="P12" s="31">
        <f t="shared" si="6"/>
        <v>811.51055999999994</v>
      </c>
      <c r="Q12" s="31">
        <f t="shared" si="7"/>
        <v>785.33280000000002</v>
      </c>
      <c r="R12" s="31">
        <f t="shared" si="8"/>
        <v>811.51055999999994</v>
      </c>
      <c r="S12" s="31">
        <f t="shared" si="9"/>
        <v>785.33280000000002</v>
      </c>
      <c r="T12" s="31">
        <f t="shared" si="10"/>
        <v>811.51055999999994</v>
      </c>
      <c r="U12" s="31">
        <f t="shared" si="11"/>
        <v>811.51055999999994</v>
      </c>
      <c r="V12" s="31">
        <f>28.8*0.9275*$V$6*0.98</f>
        <v>732.97728000000006</v>
      </c>
      <c r="W12" s="31">
        <f t="shared" si="13"/>
        <v>811.51055999999994</v>
      </c>
      <c r="X12" s="32">
        <f t="shared" si="14"/>
        <v>8769.5867851200001</v>
      </c>
    </row>
    <row r="13" spans="2:24" ht="19.5">
      <c r="B13" s="18">
        <v>8</v>
      </c>
      <c r="C13" s="18" t="s">
        <v>55</v>
      </c>
      <c r="D13" s="18" t="s">
        <v>60</v>
      </c>
      <c r="E13" s="18" t="s">
        <v>54</v>
      </c>
      <c r="F13" s="18">
        <v>60</v>
      </c>
      <c r="G13" s="18">
        <v>365</v>
      </c>
      <c r="H13" s="25">
        <f t="shared" si="1"/>
        <v>335</v>
      </c>
      <c r="I13" s="24">
        <f t="shared" si="0"/>
        <v>8911.3752000000004</v>
      </c>
      <c r="J13" s="3"/>
      <c r="L13" s="31">
        <f t="shared" si="2"/>
        <v>785.33280000000002</v>
      </c>
      <c r="M13" s="31">
        <f t="shared" si="3"/>
        <v>811.54774512000006</v>
      </c>
      <c r="N13" s="31">
        <f t="shared" ref="N13" si="15">28.8*0.9275*$N$6*0.98*15/30</f>
        <v>392.66640000000001</v>
      </c>
      <c r="O13" s="31">
        <f t="shared" ref="O13" si="16">28.8*0.9275*$O$6*0.98*16/31</f>
        <v>418.84415999999999</v>
      </c>
      <c r="P13" s="31">
        <f t="shared" si="6"/>
        <v>811.51055999999994</v>
      </c>
      <c r="Q13" s="31">
        <f t="shared" si="7"/>
        <v>785.33280000000002</v>
      </c>
      <c r="R13" s="31">
        <f t="shared" si="8"/>
        <v>811.51055999999994</v>
      </c>
      <c r="S13" s="31">
        <f t="shared" si="9"/>
        <v>785.33280000000002</v>
      </c>
      <c r="T13" s="31">
        <f t="shared" si="10"/>
        <v>811.51055999999994</v>
      </c>
      <c r="U13" s="31">
        <f t="shared" si="11"/>
        <v>811.51055999999994</v>
      </c>
      <c r="V13" s="31">
        <f t="shared" ref="V13:V14" si="17">28.8*0.9275*$V$6*0.98</f>
        <v>732.97728000000006</v>
      </c>
      <c r="W13" s="31">
        <f t="shared" si="13"/>
        <v>811.51055999999994</v>
      </c>
      <c r="X13" s="32">
        <f t="shared" si="14"/>
        <v>8769.5867851200001</v>
      </c>
    </row>
    <row r="14" spans="2:24" ht="19.5">
      <c r="B14" s="18">
        <v>9</v>
      </c>
      <c r="C14" s="18" t="s">
        <v>56</v>
      </c>
      <c r="D14" s="18" t="s">
        <v>53</v>
      </c>
      <c r="E14" s="18" t="s">
        <v>61</v>
      </c>
      <c r="F14" s="18">
        <v>35</v>
      </c>
      <c r="G14" s="18">
        <v>365</v>
      </c>
      <c r="H14" s="25">
        <f t="shared" si="1"/>
        <v>347.5</v>
      </c>
      <c r="I14" s="24">
        <f t="shared" si="0"/>
        <v>9243.8891999999996</v>
      </c>
      <c r="J14" s="3"/>
      <c r="L14" s="31">
        <f t="shared" si="2"/>
        <v>785.33280000000002</v>
      </c>
      <c r="M14" s="31">
        <f t="shared" si="3"/>
        <v>811.54774512000006</v>
      </c>
      <c r="N14" s="31">
        <f t="shared" ref="N14:N15" si="18">28.8*0.9275*$N$6*0.98*20/30</f>
        <v>523.55520000000001</v>
      </c>
      <c r="O14" s="31">
        <f t="shared" ref="O14:O15" si="19">28.8*0.9275*$O$6*0.98*23.5/31</f>
        <v>615.17736000000002</v>
      </c>
      <c r="P14" s="31">
        <f t="shared" si="6"/>
        <v>811.51055999999994</v>
      </c>
      <c r="Q14" s="31">
        <f t="shared" si="7"/>
        <v>785.33280000000002</v>
      </c>
      <c r="R14" s="31">
        <f t="shared" si="8"/>
        <v>811.51055999999994</v>
      </c>
      <c r="S14" s="31">
        <f t="shared" si="9"/>
        <v>785.33280000000002</v>
      </c>
      <c r="T14" s="31">
        <f t="shared" si="10"/>
        <v>811.51055999999994</v>
      </c>
      <c r="U14" s="31">
        <f t="shared" si="11"/>
        <v>811.51055999999994</v>
      </c>
      <c r="V14" s="31">
        <f t="shared" si="17"/>
        <v>732.97728000000006</v>
      </c>
      <c r="W14" s="31">
        <f t="shared" si="13"/>
        <v>811.51055999999994</v>
      </c>
      <c r="X14" s="32">
        <f t="shared" si="14"/>
        <v>9096.8087851200016</v>
      </c>
    </row>
    <row r="15" spans="2:24" ht="19.5">
      <c r="B15" s="18">
        <v>10</v>
      </c>
      <c r="C15" s="18" t="s">
        <v>57</v>
      </c>
      <c r="D15" s="18" t="s">
        <v>60</v>
      </c>
      <c r="E15" s="18" t="s">
        <v>61</v>
      </c>
      <c r="F15" s="18">
        <v>35</v>
      </c>
      <c r="G15" s="18">
        <v>366</v>
      </c>
      <c r="H15" s="25">
        <f t="shared" si="1"/>
        <v>348.5</v>
      </c>
      <c r="I15" s="24">
        <f t="shared" si="0"/>
        <v>9270.490319999999</v>
      </c>
      <c r="J15" s="3"/>
      <c r="L15" s="31">
        <f t="shared" si="2"/>
        <v>785.33280000000002</v>
      </c>
      <c r="M15" s="31">
        <f t="shared" si="3"/>
        <v>811.54774512000006</v>
      </c>
      <c r="N15" s="31">
        <f t="shared" si="18"/>
        <v>523.55520000000001</v>
      </c>
      <c r="O15" s="31">
        <f t="shared" si="19"/>
        <v>615.17736000000002</v>
      </c>
      <c r="P15" s="31">
        <f t="shared" si="6"/>
        <v>811.51055999999994</v>
      </c>
      <c r="Q15" s="31">
        <f t="shared" si="7"/>
        <v>785.33280000000002</v>
      </c>
      <c r="R15" s="31">
        <f t="shared" si="8"/>
        <v>811.51055999999994</v>
      </c>
      <c r="S15" s="31">
        <f t="shared" si="9"/>
        <v>785.33280000000002</v>
      </c>
      <c r="T15" s="31">
        <f t="shared" si="10"/>
        <v>811.51055999999994</v>
      </c>
      <c r="U15" s="31">
        <f t="shared" si="11"/>
        <v>811.51055999999994</v>
      </c>
      <c r="V15" s="31">
        <f>28.8*0.9275*$V$6*0.98*29/28</f>
        <v>759.15503999999999</v>
      </c>
      <c r="W15" s="31">
        <f t="shared" si="13"/>
        <v>811.51055999999994</v>
      </c>
      <c r="X15" s="32">
        <f t="shared" si="14"/>
        <v>9122.9865451200003</v>
      </c>
    </row>
    <row r="16" spans="2:24" ht="19.5">
      <c r="B16" s="18">
        <v>11</v>
      </c>
      <c r="C16" s="18" t="s">
        <v>58</v>
      </c>
      <c r="D16" s="18" t="s">
        <v>53</v>
      </c>
      <c r="E16" s="18" t="s">
        <v>61</v>
      </c>
      <c r="F16" s="18">
        <v>35</v>
      </c>
      <c r="G16" s="18">
        <v>365</v>
      </c>
      <c r="H16" s="25">
        <f t="shared" si="1"/>
        <v>347.5</v>
      </c>
      <c r="I16" s="24">
        <f t="shared" si="0"/>
        <v>9243.8891999999996</v>
      </c>
      <c r="J16" s="3"/>
      <c r="L16" s="31">
        <f t="shared" si="2"/>
        <v>785.33280000000002</v>
      </c>
      <c r="M16" s="31">
        <f t="shared" si="3"/>
        <v>811.54774512000006</v>
      </c>
      <c r="N16" s="31">
        <f>28.8*0.9275*$N$6*0.98*20/30</f>
        <v>523.55520000000001</v>
      </c>
      <c r="O16" s="31">
        <f>28.8*0.9275*$O$6*0.98*23.5/31</f>
        <v>615.17736000000002</v>
      </c>
      <c r="P16" s="31">
        <f t="shared" si="6"/>
        <v>811.51055999999994</v>
      </c>
      <c r="Q16" s="31">
        <f t="shared" si="7"/>
        <v>785.33280000000002</v>
      </c>
      <c r="R16" s="31">
        <f t="shared" si="8"/>
        <v>811.51055999999994</v>
      </c>
      <c r="S16" s="31">
        <f t="shared" si="9"/>
        <v>785.33280000000002</v>
      </c>
      <c r="T16" s="31">
        <f t="shared" si="10"/>
        <v>811.51055999999994</v>
      </c>
      <c r="U16" s="31">
        <f t="shared" si="11"/>
        <v>811.51055999999994</v>
      </c>
      <c r="V16" s="31">
        <f>28.8*0.9275*$V$6*0.98</f>
        <v>732.97728000000006</v>
      </c>
      <c r="W16" s="31">
        <f t="shared" si="13"/>
        <v>811.51055999999994</v>
      </c>
      <c r="X16" s="32">
        <f t="shared" si="14"/>
        <v>9096.8087851200016</v>
      </c>
    </row>
    <row r="17" spans="2:24" ht="19.5">
      <c r="B17" s="18">
        <v>12</v>
      </c>
      <c r="C17" s="18" t="s">
        <v>59</v>
      </c>
      <c r="D17" s="18" t="s">
        <v>60</v>
      </c>
      <c r="E17" s="18" t="s">
        <v>61</v>
      </c>
      <c r="F17" s="18">
        <v>35</v>
      </c>
      <c r="G17" s="18">
        <v>365</v>
      </c>
      <c r="H17" s="25">
        <f t="shared" si="1"/>
        <v>347.5</v>
      </c>
      <c r="I17" s="24">
        <f t="shared" si="0"/>
        <v>9243.8891999999996</v>
      </c>
      <c r="J17" s="3"/>
      <c r="L17" s="31">
        <f t="shared" si="2"/>
        <v>785.33280000000002</v>
      </c>
      <c r="M17" s="31">
        <f t="shared" si="3"/>
        <v>811.54774512000006</v>
      </c>
      <c r="N17" s="31">
        <f>28.8*0.9275*$N$6*0.98*20/30</f>
        <v>523.55520000000001</v>
      </c>
      <c r="O17" s="31">
        <f>28.8*0.9275*$O$6*0.98*23.5/31</f>
        <v>615.17736000000002</v>
      </c>
      <c r="P17" s="31">
        <f t="shared" si="6"/>
        <v>811.51055999999994</v>
      </c>
      <c r="Q17" s="31">
        <f t="shared" si="7"/>
        <v>785.33280000000002</v>
      </c>
      <c r="R17" s="31">
        <f t="shared" si="8"/>
        <v>811.51055999999994</v>
      </c>
      <c r="S17" s="31">
        <f t="shared" si="9"/>
        <v>785.33280000000002</v>
      </c>
      <c r="T17" s="31">
        <f t="shared" si="10"/>
        <v>811.51055999999994</v>
      </c>
      <c r="U17" s="31">
        <f t="shared" si="11"/>
        <v>811.51055999999994</v>
      </c>
      <c r="V17" s="31">
        <f>28.8*0.9275*$V$6*0.98</f>
        <v>732.97728000000006</v>
      </c>
      <c r="W17" s="31">
        <f t="shared" si="13"/>
        <v>811.51055999999994</v>
      </c>
      <c r="X17" s="32">
        <f t="shared" si="14"/>
        <v>9096.8087851200016</v>
      </c>
    </row>
    <row r="18" spans="2:24" ht="19.5">
      <c r="B18" s="3"/>
      <c r="C18" s="3"/>
      <c r="D18" s="3"/>
      <c r="E18" s="3"/>
      <c r="F18" s="3"/>
      <c r="G18" s="3"/>
      <c r="H18" s="3"/>
      <c r="I18" s="23"/>
      <c r="J18" s="3"/>
    </row>
    <row r="19" spans="2:24" ht="19.5">
      <c r="B19" s="3"/>
      <c r="C19" s="3"/>
      <c r="D19" s="3"/>
      <c r="E19" s="3"/>
      <c r="F19" s="3"/>
      <c r="G19" s="3"/>
      <c r="H19" s="3"/>
      <c r="I19" s="3"/>
      <c r="J19" s="3"/>
    </row>
  </sheetData>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dimension ref="A2:Y175"/>
  <sheetViews>
    <sheetView tabSelected="1" topLeftCell="H102" zoomScale="115" zoomScaleNormal="115" workbookViewId="0">
      <selection activeCell="O121" sqref="O121:O123"/>
    </sheetView>
  </sheetViews>
  <sheetFormatPr defaultRowHeight="15"/>
  <cols>
    <col min="2" max="2" width="6.7109375" bestFit="1" customWidth="1"/>
    <col min="3" max="3" width="14.28515625" bestFit="1" customWidth="1"/>
    <col min="4" max="4" width="8.7109375" bestFit="1" customWidth="1"/>
    <col min="5" max="5" width="10" bestFit="1" customWidth="1"/>
    <col min="6" max="6" width="12" bestFit="1" customWidth="1"/>
    <col min="7" max="7" width="11.85546875" customWidth="1"/>
    <col min="8" max="8" width="10.5703125" customWidth="1"/>
    <col min="9" max="9" width="15" customWidth="1"/>
    <col min="10" max="10" width="9.85546875" bestFit="1" customWidth="1"/>
    <col min="11" max="11" width="0" hidden="1" customWidth="1"/>
    <col min="13" max="14" width="11.28515625" customWidth="1"/>
    <col min="15" max="15" width="10.140625" customWidth="1"/>
    <col min="16" max="16" width="10.42578125" customWidth="1"/>
    <col min="17" max="17" width="11.7109375" customWidth="1"/>
    <col min="18" max="18" width="10.42578125" customWidth="1"/>
    <col min="19" max="19" width="11.5703125" customWidth="1"/>
    <col min="20" max="20" width="11.140625" customWidth="1"/>
    <col min="21" max="21" width="9.28515625" customWidth="1"/>
    <col min="22" max="22" width="10.85546875" customWidth="1"/>
    <col min="24" max="24" width="9.28515625" bestFit="1" customWidth="1"/>
    <col min="25" max="25" width="9.85546875" bestFit="1" customWidth="1"/>
  </cols>
  <sheetData>
    <row r="2" spans="2:24" hidden="1">
      <c r="L2">
        <v>93.5</v>
      </c>
      <c r="M2">
        <v>28.8</v>
      </c>
      <c r="N2">
        <v>1</v>
      </c>
      <c r="O2">
        <v>6.5000000000000002E-2</v>
      </c>
      <c r="P2">
        <f>N2-O2</f>
        <v>0.93500000000000005</v>
      </c>
      <c r="Q2">
        <f>M2*P2</f>
        <v>26.928000000000001</v>
      </c>
      <c r="R2">
        <f>Q2*91</f>
        <v>2450.4479999999999</v>
      </c>
      <c r="S2">
        <f>R2+R3</f>
        <v>9808.9920000000002</v>
      </c>
    </row>
    <row r="3" spans="2:24" hidden="1">
      <c r="L3">
        <f>100-L2</f>
        <v>6.5</v>
      </c>
      <c r="M3">
        <v>28.8</v>
      </c>
      <c r="N3">
        <v>1</v>
      </c>
      <c r="O3">
        <v>6.7500000000000004E-2</v>
      </c>
      <c r="P3">
        <f>N3-O3</f>
        <v>0.9325</v>
      </c>
      <c r="Q3">
        <f>M3*P3</f>
        <v>26.856000000000002</v>
      </c>
      <c r="R3">
        <f>Q3*(365-91)</f>
        <v>7358.5440000000008</v>
      </c>
    </row>
    <row r="4" spans="2:24" hidden="1">
      <c r="M4">
        <v>28.8</v>
      </c>
      <c r="N4">
        <v>1</v>
      </c>
      <c r="O4">
        <v>5.7500000000000002E-2</v>
      </c>
      <c r="P4">
        <f>N4-O4</f>
        <v>0.9425</v>
      </c>
      <c r="Q4">
        <f>M4*P4</f>
        <v>27.144000000000002</v>
      </c>
    </row>
    <row r="6" spans="2:24" ht="78">
      <c r="B6" s="8" t="s">
        <v>62</v>
      </c>
      <c r="C6" s="8" t="s">
        <v>63</v>
      </c>
      <c r="D6" s="8" t="s">
        <v>64</v>
      </c>
      <c r="E6" s="8" t="s">
        <v>65</v>
      </c>
      <c r="F6" s="8" t="s">
        <v>66</v>
      </c>
      <c r="G6" s="6" t="s">
        <v>69</v>
      </c>
      <c r="H6" s="6" t="s">
        <v>70</v>
      </c>
      <c r="I6" s="6" t="s">
        <v>67</v>
      </c>
      <c r="J6" s="3"/>
    </row>
    <row r="7" spans="2:24" ht="19.5" hidden="1">
      <c r="B7" s="18"/>
      <c r="C7" s="8"/>
      <c r="D7" s="8"/>
      <c r="E7" s="8"/>
      <c r="F7" s="8"/>
      <c r="G7" s="6"/>
      <c r="H7" s="6"/>
      <c r="I7" s="6"/>
      <c r="J7" s="3"/>
      <c r="L7" s="29">
        <v>30</v>
      </c>
      <c r="M7" s="29">
        <v>31</v>
      </c>
      <c r="N7" s="29">
        <v>30</v>
      </c>
      <c r="O7" s="29">
        <v>31</v>
      </c>
      <c r="P7" s="29">
        <v>31</v>
      </c>
      <c r="Q7" s="29">
        <v>30</v>
      </c>
      <c r="R7" s="29">
        <v>31</v>
      </c>
      <c r="S7" s="29">
        <v>30</v>
      </c>
      <c r="T7" s="29">
        <v>31</v>
      </c>
      <c r="U7" s="29">
        <v>31</v>
      </c>
      <c r="V7" s="29">
        <v>28</v>
      </c>
      <c r="W7" s="29">
        <v>31</v>
      </c>
      <c r="X7" s="30">
        <f>SUM(L7:W7)</f>
        <v>365</v>
      </c>
    </row>
    <row r="8" spans="2:24" ht="19.5">
      <c r="B8" s="18"/>
      <c r="C8" s="8"/>
      <c r="D8" s="8"/>
      <c r="E8" s="8"/>
      <c r="F8" s="8"/>
      <c r="G8" s="6"/>
      <c r="H8" s="6"/>
      <c r="I8" s="6"/>
      <c r="J8" s="3"/>
      <c r="L8" s="29" t="s">
        <v>74</v>
      </c>
      <c r="M8" s="29" t="s">
        <v>75</v>
      </c>
      <c r="N8" s="33" t="s">
        <v>76</v>
      </c>
      <c r="O8" s="33" t="s">
        <v>77</v>
      </c>
      <c r="P8" s="29" t="s">
        <v>78</v>
      </c>
      <c r="Q8" s="29" t="s">
        <v>79</v>
      </c>
      <c r="R8" s="29" t="s">
        <v>80</v>
      </c>
      <c r="S8" s="29" t="s">
        <v>81</v>
      </c>
      <c r="T8" s="29" t="s">
        <v>82</v>
      </c>
      <c r="U8" s="29" t="s">
        <v>83</v>
      </c>
      <c r="V8" s="33" t="s">
        <v>84</v>
      </c>
      <c r="W8" s="29" t="s">
        <v>85</v>
      </c>
      <c r="X8" s="30" t="s">
        <v>5</v>
      </c>
    </row>
    <row r="9" spans="2:24" s="38" customFormat="1" ht="19.5">
      <c r="B9" s="34">
        <v>1</v>
      </c>
      <c r="C9" s="34" t="s">
        <v>15</v>
      </c>
      <c r="D9" s="34" t="s">
        <v>60</v>
      </c>
      <c r="E9" s="34" t="s">
        <v>54</v>
      </c>
      <c r="F9" s="34">
        <v>55</v>
      </c>
      <c r="G9" s="34">
        <v>365</v>
      </c>
      <c r="H9" s="35">
        <f t="shared" ref="H9:H13" si="0">G9-F9/2</f>
        <v>337.5</v>
      </c>
      <c r="I9" s="36">
        <f>X9</f>
        <v>8727.4713599999995</v>
      </c>
      <c r="J9" s="53">
        <f>I9/(28.8*0.9425*122+28.8*0.9325*243)</f>
        <v>0.88715668981871132</v>
      </c>
      <c r="K9" s="37">
        <f>X9/S2</f>
        <v>0.88974191843565575</v>
      </c>
      <c r="L9" s="32">
        <f>28.8*0.9425*$L$7*0.96</f>
        <v>781.74720000000002</v>
      </c>
      <c r="M9" s="32">
        <f>28.8*0.9425*$M$7*0.96</f>
        <v>807.80543999999998</v>
      </c>
      <c r="N9" s="32">
        <f>28.8*0.9425*$N$7*0.96*15/30</f>
        <v>390.87360000000001</v>
      </c>
      <c r="O9" s="32">
        <f>28.8*0.9425*$O$7*0.96*18.5/31</f>
        <v>482.07743999999997</v>
      </c>
      <c r="P9" s="32">
        <f>28.8*0.9325*$P$7*0.96</f>
        <v>799.23455999999999</v>
      </c>
      <c r="Q9" s="32">
        <f>28.8*0.9325*$Q$7*0.96</f>
        <v>773.45280000000002</v>
      </c>
      <c r="R9" s="32">
        <f>28.8*0.9325*$R$7*0.96</f>
        <v>799.23455999999999</v>
      </c>
      <c r="S9" s="32">
        <f>28.8*0.9325*$S$7*0.96</f>
        <v>773.45280000000002</v>
      </c>
      <c r="T9" s="32">
        <f>28.8*0.9325*$T$7*0.96</f>
        <v>799.23455999999999</v>
      </c>
      <c r="U9" s="32">
        <f>28.8*0.9325*$U$7*0.96</f>
        <v>799.23455999999999</v>
      </c>
      <c r="V9" s="32">
        <f>28.8*0.9325*$V$7*0.96</f>
        <v>721.8892800000001</v>
      </c>
      <c r="W9" s="32">
        <f>28.8*0.9325*$W$7*0.96</f>
        <v>799.23455999999999</v>
      </c>
      <c r="X9" s="32">
        <f>SUM(L9:W9)</f>
        <v>8727.4713599999995</v>
      </c>
    </row>
    <row r="10" spans="2:24" s="38" customFormat="1" ht="19.5">
      <c r="B10" s="34">
        <v>2</v>
      </c>
      <c r="C10" s="34" t="s">
        <v>16</v>
      </c>
      <c r="D10" s="34" t="s">
        <v>53</v>
      </c>
      <c r="E10" s="34" t="s">
        <v>61</v>
      </c>
      <c r="F10" s="34">
        <v>35</v>
      </c>
      <c r="G10" s="34">
        <v>365</v>
      </c>
      <c r="H10" s="35">
        <f t="shared" si="0"/>
        <v>347.5</v>
      </c>
      <c r="I10" s="36">
        <f>H10*$Q$3*0.96</f>
        <v>8959.1616000000013</v>
      </c>
      <c r="J10" s="53">
        <f>I10/(28.8*0.9325*365)</f>
        <v>0.91397260273972614</v>
      </c>
      <c r="K10" s="37">
        <f t="shared" ref="K10:K13" si="1">I10/(G10*$Q$3)</f>
        <v>0.91397260273972614</v>
      </c>
      <c r="L10" s="32">
        <f>28.8*0.9325*$L$7*0.96</f>
        <v>773.45280000000002</v>
      </c>
      <c r="M10" s="32">
        <f>28.8*0.9325*$M$7*0.96</f>
        <v>799.23455999999999</v>
      </c>
      <c r="N10" s="32">
        <f>28.8*0.9325*$N$7*0.96*20/30</f>
        <v>515.63520000000005</v>
      </c>
      <c r="O10" s="32">
        <f>28.8*0.9325*$O$7*0.96*23.5/31</f>
        <v>605.87135999999998</v>
      </c>
      <c r="P10" s="32">
        <f>28.8*0.9325*$P$7*0.96</f>
        <v>799.23455999999999</v>
      </c>
      <c r="Q10" s="32">
        <f t="shared" ref="Q10:Q13" si="2">28.8*0.9325*$Q$7*0.96</f>
        <v>773.45280000000002</v>
      </c>
      <c r="R10" s="32">
        <f t="shared" ref="R10:R13" si="3">28.8*0.9325*$R$7*0.96</f>
        <v>799.23455999999999</v>
      </c>
      <c r="S10" s="32">
        <f t="shared" ref="S10:S13" si="4">28.8*0.9325*$S$7*0.96</f>
        <v>773.45280000000002</v>
      </c>
      <c r="T10" s="32">
        <f t="shared" ref="T10:T13" si="5">28.8*0.9325*$T$7*0.96</f>
        <v>799.23455999999999</v>
      </c>
      <c r="U10" s="32">
        <f t="shared" ref="U10:U13" si="6">28.8*0.9325*$U$7*0.96</f>
        <v>799.23455999999999</v>
      </c>
      <c r="V10" s="32">
        <f t="shared" ref="V10:V13" si="7">28.8*0.9325*$V$7*0.96</f>
        <v>721.8892800000001</v>
      </c>
      <c r="W10" s="32">
        <f t="shared" ref="W10:W13" si="8">28.8*0.9325*$W$7*0.96</f>
        <v>799.23455999999999</v>
      </c>
      <c r="X10" s="32">
        <f t="shared" ref="X10:X13" si="9">SUM(L10:W10)</f>
        <v>8959.1615999999995</v>
      </c>
    </row>
    <row r="11" spans="2:24" s="38" customFormat="1" ht="19.5">
      <c r="B11" s="34">
        <v>3</v>
      </c>
      <c r="C11" s="34" t="s">
        <v>17</v>
      </c>
      <c r="D11" s="34" t="s">
        <v>60</v>
      </c>
      <c r="E11" s="34" t="s">
        <v>61</v>
      </c>
      <c r="F11" s="34">
        <v>35</v>
      </c>
      <c r="G11" s="34">
        <v>365</v>
      </c>
      <c r="H11" s="35">
        <f t="shared" si="0"/>
        <v>347.5</v>
      </c>
      <c r="I11" s="36">
        <f t="shared" ref="I11:I13" si="10">H11*$Q$3*0.96</f>
        <v>8959.1616000000013</v>
      </c>
      <c r="J11" s="53">
        <f t="shared" ref="J11:J13" si="11">I11/(28.8*0.9325*365)</f>
        <v>0.91397260273972614</v>
      </c>
      <c r="K11" s="37">
        <f t="shared" si="1"/>
        <v>0.91397260273972614</v>
      </c>
      <c r="L11" s="32">
        <f t="shared" ref="L11:L13" si="12">28.8*0.9325*$L$7*0.96</f>
        <v>773.45280000000002</v>
      </c>
      <c r="M11" s="32">
        <f t="shared" ref="M11:M13" si="13">28.8*0.9325*$M$7*0.96</f>
        <v>799.23455999999999</v>
      </c>
      <c r="N11" s="32">
        <f t="shared" ref="N11:N13" si="14">28.8*0.9325*$N$7*0.96*20/30</f>
        <v>515.63520000000005</v>
      </c>
      <c r="O11" s="32">
        <f t="shared" ref="O11:O13" si="15">28.8*0.9325*$O$7*0.96*23.5/31</f>
        <v>605.87135999999998</v>
      </c>
      <c r="P11" s="32">
        <f t="shared" ref="P11:P13" si="16">28.8*0.9325*$P$7*0.96</f>
        <v>799.23455999999999</v>
      </c>
      <c r="Q11" s="32">
        <f t="shared" si="2"/>
        <v>773.45280000000002</v>
      </c>
      <c r="R11" s="32">
        <f t="shared" si="3"/>
        <v>799.23455999999999</v>
      </c>
      <c r="S11" s="32">
        <f t="shared" si="4"/>
        <v>773.45280000000002</v>
      </c>
      <c r="T11" s="32">
        <f t="shared" si="5"/>
        <v>799.23455999999999</v>
      </c>
      <c r="U11" s="32">
        <f t="shared" si="6"/>
        <v>799.23455999999999</v>
      </c>
      <c r="V11" s="32">
        <f t="shared" si="7"/>
        <v>721.8892800000001</v>
      </c>
      <c r="W11" s="32">
        <f t="shared" si="8"/>
        <v>799.23455999999999</v>
      </c>
      <c r="X11" s="32">
        <f t="shared" si="9"/>
        <v>8959.1615999999995</v>
      </c>
    </row>
    <row r="12" spans="2:24" s="38" customFormat="1" ht="19.5">
      <c r="B12" s="34">
        <v>4</v>
      </c>
      <c r="C12" s="34" t="s">
        <v>18</v>
      </c>
      <c r="D12" s="34" t="s">
        <v>53</v>
      </c>
      <c r="E12" s="34" t="s">
        <v>61</v>
      </c>
      <c r="F12" s="34">
        <v>35</v>
      </c>
      <c r="G12" s="34">
        <v>366</v>
      </c>
      <c r="H12" s="35">
        <f t="shared" si="0"/>
        <v>348.5</v>
      </c>
      <c r="I12" s="36">
        <f t="shared" si="10"/>
        <v>8984.9433600000011</v>
      </c>
      <c r="J12" s="53">
        <f>I12/(28.8*0.9325*366)</f>
        <v>0.9140983606557378</v>
      </c>
      <c r="K12" s="37">
        <f t="shared" si="1"/>
        <v>0.9140983606557378</v>
      </c>
      <c r="L12" s="32">
        <f t="shared" si="12"/>
        <v>773.45280000000002</v>
      </c>
      <c r="M12" s="32">
        <f t="shared" si="13"/>
        <v>799.23455999999999</v>
      </c>
      <c r="N12" s="32">
        <f t="shared" si="14"/>
        <v>515.63520000000005</v>
      </c>
      <c r="O12" s="32">
        <f t="shared" si="15"/>
        <v>605.87135999999998</v>
      </c>
      <c r="P12" s="32">
        <f t="shared" si="16"/>
        <v>799.23455999999999</v>
      </c>
      <c r="Q12" s="32">
        <f t="shared" si="2"/>
        <v>773.45280000000002</v>
      </c>
      <c r="R12" s="32">
        <f t="shared" si="3"/>
        <v>799.23455999999999</v>
      </c>
      <c r="S12" s="32">
        <f t="shared" si="4"/>
        <v>773.45280000000002</v>
      </c>
      <c r="T12" s="32">
        <f t="shared" si="5"/>
        <v>799.23455999999999</v>
      </c>
      <c r="U12" s="32">
        <f t="shared" si="6"/>
        <v>799.23455999999999</v>
      </c>
      <c r="V12" s="32">
        <f>28.8*0.9325*$V$7*0.96*29/28</f>
        <v>747.67104000000006</v>
      </c>
      <c r="W12" s="32">
        <f t="shared" si="8"/>
        <v>799.23455999999999</v>
      </c>
      <c r="X12" s="32">
        <f t="shared" si="9"/>
        <v>8984.9433599999993</v>
      </c>
    </row>
    <row r="13" spans="2:24" s="38" customFormat="1" ht="19.5">
      <c r="B13" s="34">
        <v>5</v>
      </c>
      <c r="C13" s="34" t="s">
        <v>19</v>
      </c>
      <c r="D13" s="34" t="s">
        <v>60</v>
      </c>
      <c r="E13" s="34" t="s">
        <v>61</v>
      </c>
      <c r="F13" s="34">
        <v>35</v>
      </c>
      <c r="G13" s="34">
        <v>365</v>
      </c>
      <c r="H13" s="35">
        <f t="shared" si="0"/>
        <v>347.5</v>
      </c>
      <c r="I13" s="36">
        <f t="shared" si="10"/>
        <v>8959.1616000000013</v>
      </c>
      <c r="J13" s="53">
        <f t="shared" si="11"/>
        <v>0.91397260273972614</v>
      </c>
      <c r="K13" s="37">
        <f t="shared" si="1"/>
        <v>0.91397260273972614</v>
      </c>
      <c r="L13" s="32">
        <f t="shared" si="12"/>
        <v>773.45280000000002</v>
      </c>
      <c r="M13" s="32">
        <f t="shared" si="13"/>
        <v>799.23455999999999</v>
      </c>
      <c r="N13" s="32">
        <f t="shared" si="14"/>
        <v>515.63520000000005</v>
      </c>
      <c r="O13" s="32">
        <f t="shared" si="15"/>
        <v>605.87135999999998</v>
      </c>
      <c r="P13" s="32">
        <f t="shared" si="16"/>
        <v>799.23455999999999</v>
      </c>
      <c r="Q13" s="32">
        <f t="shared" si="2"/>
        <v>773.45280000000002</v>
      </c>
      <c r="R13" s="32">
        <f t="shared" si="3"/>
        <v>799.23455999999999</v>
      </c>
      <c r="S13" s="32">
        <f t="shared" si="4"/>
        <v>773.45280000000002</v>
      </c>
      <c r="T13" s="32">
        <f t="shared" si="5"/>
        <v>799.23455999999999</v>
      </c>
      <c r="U13" s="32">
        <f t="shared" si="6"/>
        <v>799.23455999999999</v>
      </c>
      <c r="V13" s="32">
        <f t="shared" si="7"/>
        <v>721.8892800000001</v>
      </c>
      <c r="W13" s="32">
        <f t="shared" si="8"/>
        <v>799.23455999999999</v>
      </c>
      <c r="X13" s="32">
        <f t="shared" si="9"/>
        <v>8959.1615999999995</v>
      </c>
    </row>
    <row r="14" spans="2:24" ht="19.5">
      <c r="B14" s="3"/>
      <c r="C14" s="3"/>
      <c r="D14" s="3"/>
      <c r="E14" s="3"/>
      <c r="F14" s="3"/>
      <c r="G14" s="3"/>
      <c r="H14" s="3"/>
      <c r="I14" s="23"/>
      <c r="J14" s="3"/>
    </row>
    <row r="15" spans="2:24" ht="19.5">
      <c r="B15" s="3"/>
      <c r="C15" s="3"/>
      <c r="D15" s="3"/>
      <c r="E15" s="3"/>
      <c r="F15" s="3"/>
      <c r="G15" s="3"/>
      <c r="H15" s="3"/>
      <c r="I15" s="3"/>
      <c r="J15" s="65">
        <f>SUMPRODUCT(I9:I13,J9:J13)/SUM(I9:I13)</f>
        <v>0.90874933050172746</v>
      </c>
    </row>
    <row r="16" spans="2:24">
      <c r="I16" s="69"/>
    </row>
    <row r="18" spans="1:25" ht="87.75" customHeight="1">
      <c r="A18" s="77" t="s">
        <v>86</v>
      </c>
      <c r="B18" s="77"/>
      <c r="C18" s="77"/>
      <c r="D18" s="77"/>
      <c r="E18" s="77"/>
      <c r="F18" s="77"/>
      <c r="G18" s="77"/>
      <c r="H18" s="77"/>
      <c r="I18" s="77"/>
      <c r="J18" s="77"/>
      <c r="K18" s="77"/>
      <c r="L18" s="77"/>
      <c r="M18" s="77"/>
      <c r="N18" s="77"/>
      <c r="O18" s="77"/>
      <c r="P18" s="77"/>
      <c r="Q18" s="77"/>
      <c r="R18" s="77"/>
      <c r="S18" s="77"/>
      <c r="T18" s="77"/>
      <c r="U18" s="77"/>
      <c r="V18" s="77"/>
      <c r="W18" s="77"/>
      <c r="X18" s="77"/>
    </row>
    <row r="20" spans="1:25" hidden="1"/>
    <row r="21" spans="1:25" hidden="1">
      <c r="L21">
        <v>5.75</v>
      </c>
      <c r="M21">
        <v>5.75</v>
      </c>
      <c r="N21">
        <v>5.75</v>
      </c>
      <c r="O21">
        <v>5.75</v>
      </c>
      <c r="P21">
        <v>6.75</v>
      </c>
      <c r="Q21">
        <v>6.75</v>
      </c>
      <c r="R21">
        <v>6.75</v>
      </c>
      <c r="S21">
        <v>6.75</v>
      </c>
      <c r="T21">
        <v>6.75</v>
      </c>
      <c r="U21">
        <v>6.75</v>
      </c>
      <c r="V21">
        <v>6.75</v>
      </c>
      <c r="W21">
        <v>6.75</v>
      </c>
      <c r="X21" s="42">
        <f>SUMPRODUCT(L21:W21,L26:W26)/X26</f>
        <v>6.4678445418582271</v>
      </c>
    </row>
    <row r="22" spans="1:25" hidden="1">
      <c r="L22">
        <v>5.75</v>
      </c>
      <c r="M22">
        <v>5.75</v>
      </c>
      <c r="N22">
        <v>5.75</v>
      </c>
      <c r="O22">
        <v>5.75</v>
      </c>
      <c r="P22">
        <v>6.75</v>
      </c>
      <c r="Q22">
        <v>6.75</v>
      </c>
      <c r="R22">
        <v>6.75</v>
      </c>
      <c r="S22">
        <v>6.75</v>
      </c>
      <c r="T22">
        <v>6.75</v>
      </c>
      <c r="U22">
        <v>6.75</v>
      </c>
      <c r="V22">
        <v>6.75</v>
      </c>
      <c r="W22">
        <v>6.75</v>
      </c>
      <c r="X22" s="42">
        <f>SUMPRODUCT(L22:W22,L27:W27)/X27</f>
        <v>6.532058361662842</v>
      </c>
    </row>
    <row r="23" spans="1:25" hidden="1">
      <c r="L23">
        <v>5.75</v>
      </c>
      <c r="M23">
        <v>5.75</v>
      </c>
      <c r="N23">
        <v>5.75</v>
      </c>
      <c r="O23">
        <v>5.75</v>
      </c>
      <c r="P23">
        <v>6.75</v>
      </c>
      <c r="Q23">
        <v>6.75</v>
      </c>
      <c r="R23">
        <v>6.75</v>
      </c>
      <c r="S23">
        <v>6.75</v>
      </c>
      <c r="T23">
        <v>6.75</v>
      </c>
      <c r="U23">
        <v>6.75</v>
      </c>
      <c r="V23">
        <v>6.75</v>
      </c>
      <c r="W23">
        <v>6.75</v>
      </c>
      <c r="X23" s="42">
        <f>SUMPRODUCT(L23:W23,L28:W28)/X28</f>
        <v>6.4133756120410155</v>
      </c>
    </row>
    <row r="25" spans="1:25" ht="19.5">
      <c r="J25" s="87" t="s">
        <v>15</v>
      </c>
      <c r="K25" s="88"/>
      <c r="L25" s="89"/>
    </row>
    <row r="26" spans="1:25" ht="19.5">
      <c r="L26" s="39">
        <f>L9</f>
        <v>781.74720000000002</v>
      </c>
      <c r="M26" s="39">
        <f t="shared" ref="M26:W26" si="17">M9</f>
        <v>807.80543999999998</v>
      </c>
      <c r="N26" s="39">
        <f t="shared" si="17"/>
        <v>390.87360000000001</v>
      </c>
      <c r="O26" s="39">
        <f t="shared" si="17"/>
        <v>482.07743999999997</v>
      </c>
      <c r="P26" s="39">
        <f t="shared" si="17"/>
        <v>799.23455999999999</v>
      </c>
      <c r="Q26" s="39">
        <f t="shared" si="17"/>
        <v>773.45280000000002</v>
      </c>
      <c r="R26" s="39">
        <f t="shared" si="17"/>
        <v>799.23455999999999</v>
      </c>
      <c r="S26" s="39">
        <f t="shared" si="17"/>
        <v>773.45280000000002</v>
      </c>
      <c r="T26" s="39">
        <f t="shared" si="17"/>
        <v>799.23455999999999</v>
      </c>
      <c r="U26" s="39">
        <f t="shared" si="17"/>
        <v>799.23455999999999</v>
      </c>
      <c r="V26" s="39">
        <f t="shared" si="17"/>
        <v>721.8892800000001</v>
      </c>
      <c r="W26" s="39">
        <f t="shared" si="17"/>
        <v>799.23455999999999</v>
      </c>
      <c r="X26" s="45">
        <f t="shared" ref="X26:X31" si="18">SUM(L26:W26)</f>
        <v>8727.4713599999995</v>
      </c>
      <c r="Y26" s="53">
        <f>X26/(28.8*0.9425*122+28.8*0.9325*243)</f>
        <v>0.88715668981871132</v>
      </c>
    </row>
    <row r="27" spans="1:25" ht="19.5">
      <c r="J27" t="s">
        <v>87</v>
      </c>
      <c r="L27" s="39">
        <f>14.4*0.9425*$L$7*0.96</f>
        <v>390.87360000000001</v>
      </c>
      <c r="M27" s="39">
        <f>14.4*0.9425*$M$7*0.96</f>
        <v>403.90271999999999</v>
      </c>
      <c r="N27" s="46">
        <v>0</v>
      </c>
      <c r="O27" s="39">
        <f>14.4*0.9425*$O$7*0.96*6/31</f>
        <v>78.174719999999994</v>
      </c>
      <c r="P27" s="39">
        <f>28.8/2*0.9325*$P$7*0.96</f>
        <v>399.61727999999999</v>
      </c>
      <c r="Q27" s="44">
        <f>Q26/2</f>
        <v>386.72640000000001</v>
      </c>
      <c r="R27" s="44">
        <f t="shared" ref="R27:W27" si="19">R26/2</f>
        <v>399.61727999999999</v>
      </c>
      <c r="S27" s="44">
        <f t="shared" si="19"/>
        <v>386.72640000000001</v>
      </c>
      <c r="T27" s="44">
        <f t="shared" si="19"/>
        <v>399.61727999999999</v>
      </c>
      <c r="U27" s="44">
        <f t="shared" si="19"/>
        <v>399.61727999999999</v>
      </c>
      <c r="V27" s="44">
        <f t="shared" si="19"/>
        <v>360.94464000000005</v>
      </c>
      <c r="W27" s="44">
        <f t="shared" si="19"/>
        <v>399.61727999999999</v>
      </c>
      <c r="X27" s="45">
        <f t="shared" si="18"/>
        <v>4005.4348799999998</v>
      </c>
      <c r="Y27" s="53">
        <f>X27/(14.4*0.9425*122+14.4*0.9325*243)</f>
        <v>0.81431337963742279</v>
      </c>
    </row>
    <row r="28" spans="1:25" ht="19.5">
      <c r="J28" t="s">
        <v>88</v>
      </c>
      <c r="L28" s="39">
        <f>14.4*0.9425*$L$7*0.96</f>
        <v>390.87360000000001</v>
      </c>
      <c r="M28" s="39">
        <f>14.4*0.9425*$M$7*0.96</f>
        <v>403.90271999999999</v>
      </c>
      <c r="N28" s="39">
        <f>14.4*0.9425*$N$7*0.96*30/30</f>
        <v>390.87360000000001</v>
      </c>
      <c r="O28" s="39">
        <f>14.4*0.9425*$O$7*0.96*31/31</f>
        <v>403.90271999999999</v>
      </c>
      <c r="P28" s="44">
        <f>P27</f>
        <v>399.61727999999999</v>
      </c>
      <c r="Q28" s="44">
        <f>Q27</f>
        <v>386.72640000000001</v>
      </c>
      <c r="R28" s="44">
        <f t="shared" ref="R28:W28" si="20">R27</f>
        <v>399.61727999999999</v>
      </c>
      <c r="S28" s="44">
        <f t="shared" si="20"/>
        <v>386.72640000000001</v>
      </c>
      <c r="T28" s="44">
        <f t="shared" si="20"/>
        <v>399.61727999999999</v>
      </c>
      <c r="U28" s="44">
        <f t="shared" si="20"/>
        <v>399.61727999999999</v>
      </c>
      <c r="V28" s="44">
        <f t="shared" si="20"/>
        <v>360.94464000000005</v>
      </c>
      <c r="W28" s="44">
        <f t="shared" si="20"/>
        <v>399.61727999999999</v>
      </c>
      <c r="X28" s="45">
        <f t="shared" si="18"/>
        <v>4722.0364799999998</v>
      </c>
      <c r="Y28" s="53">
        <f>X28/(14.4*0.9425*122+14.4*0.9325*243)</f>
        <v>0.95999999999999985</v>
      </c>
    </row>
    <row r="29" spans="1:25" ht="19.5">
      <c r="C29">
        <v>55</v>
      </c>
      <c r="D29">
        <v>365</v>
      </c>
      <c r="E29">
        <f>D29-C29</f>
        <v>310</v>
      </c>
      <c r="L29" s="54">
        <f>L26/0.9425</f>
        <v>829.44</v>
      </c>
      <c r="M29" s="54">
        <f t="shared" ref="M29:O29" si="21">M26/0.9425</f>
        <v>857.08799999999997</v>
      </c>
      <c r="N29" s="54">
        <f t="shared" si="21"/>
        <v>414.72</v>
      </c>
      <c r="O29" s="54">
        <f t="shared" si="21"/>
        <v>511.48799999999994</v>
      </c>
      <c r="P29" s="54">
        <f>P26/0.9325</f>
        <v>857.08799999999997</v>
      </c>
      <c r="Q29" s="54">
        <f t="shared" ref="Q29:W29" si="22">Q26/0.9325</f>
        <v>829.44</v>
      </c>
      <c r="R29" s="54">
        <f t="shared" si="22"/>
        <v>857.08799999999997</v>
      </c>
      <c r="S29" s="54">
        <f t="shared" si="22"/>
        <v>829.44</v>
      </c>
      <c r="T29" s="54">
        <f t="shared" si="22"/>
        <v>857.08799999999997</v>
      </c>
      <c r="U29" s="54">
        <f t="shared" si="22"/>
        <v>857.08799999999997</v>
      </c>
      <c r="V29" s="54">
        <f t="shared" si="22"/>
        <v>774.14400000000012</v>
      </c>
      <c r="W29" s="54">
        <f t="shared" si="22"/>
        <v>857.08799999999997</v>
      </c>
      <c r="X29" s="45">
        <f t="shared" si="18"/>
        <v>9331.1999999999989</v>
      </c>
      <c r="Y29" s="40"/>
    </row>
    <row r="30" spans="1:25" ht="19.5">
      <c r="L30" s="54">
        <f t="shared" ref="L30:O31" si="23">L27/0.9425</f>
        <v>414.72</v>
      </c>
      <c r="M30" s="54">
        <f t="shared" si="23"/>
        <v>428.54399999999998</v>
      </c>
      <c r="N30" s="54">
        <f t="shared" si="23"/>
        <v>0</v>
      </c>
      <c r="O30" s="54">
        <f t="shared" si="23"/>
        <v>82.943999999999988</v>
      </c>
      <c r="P30" s="54">
        <f t="shared" ref="P30:W31" si="24">P27/0.9325</f>
        <v>428.54399999999998</v>
      </c>
      <c r="Q30" s="54">
        <f t="shared" si="24"/>
        <v>414.72</v>
      </c>
      <c r="R30" s="54">
        <f t="shared" si="24"/>
        <v>428.54399999999998</v>
      </c>
      <c r="S30" s="54">
        <f t="shared" si="24"/>
        <v>414.72</v>
      </c>
      <c r="T30" s="54">
        <f t="shared" si="24"/>
        <v>428.54399999999998</v>
      </c>
      <c r="U30" s="54">
        <f t="shared" si="24"/>
        <v>428.54399999999998</v>
      </c>
      <c r="V30" s="54">
        <f t="shared" si="24"/>
        <v>387.07200000000006</v>
      </c>
      <c r="W30" s="54">
        <f t="shared" si="24"/>
        <v>428.54399999999998</v>
      </c>
      <c r="X30" s="45">
        <f t="shared" si="18"/>
        <v>4285.4399999999996</v>
      </c>
      <c r="Y30" s="40"/>
    </row>
    <row r="31" spans="1:25" ht="19.5">
      <c r="E31">
        <f>30+31+30+31</f>
        <v>122</v>
      </c>
      <c r="L31" s="54">
        <f t="shared" si="23"/>
        <v>414.72</v>
      </c>
      <c r="M31" s="54">
        <f t="shared" si="23"/>
        <v>428.54399999999998</v>
      </c>
      <c r="N31" s="54">
        <f t="shared" si="23"/>
        <v>414.72</v>
      </c>
      <c r="O31" s="54">
        <f t="shared" si="23"/>
        <v>428.54399999999998</v>
      </c>
      <c r="P31" s="54">
        <f t="shared" si="24"/>
        <v>428.54399999999998</v>
      </c>
      <c r="Q31" s="54">
        <f t="shared" si="24"/>
        <v>414.72</v>
      </c>
      <c r="R31" s="54">
        <f t="shared" si="24"/>
        <v>428.54399999999998</v>
      </c>
      <c r="S31" s="54">
        <f t="shared" si="24"/>
        <v>414.72</v>
      </c>
      <c r="T31" s="54">
        <f t="shared" si="24"/>
        <v>428.54399999999998</v>
      </c>
      <c r="U31" s="54">
        <f t="shared" si="24"/>
        <v>428.54399999999998</v>
      </c>
      <c r="V31" s="54">
        <f t="shared" si="24"/>
        <v>387.07200000000006</v>
      </c>
      <c r="W31" s="54">
        <f t="shared" si="24"/>
        <v>428.54399999999998</v>
      </c>
      <c r="X31" s="45">
        <f t="shared" si="18"/>
        <v>5045.7599999999993</v>
      </c>
      <c r="Y31" s="40"/>
    </row>
    <row r="32" spans="1:25" ht="19.5">
      <c r="E32">
        <f>E31-55</f>
        <v>67</v>
      </c>
      <c r="F32">
        <f>E29-E32</f>
        <v>243</v>
      </c>
      <c r="L32" s="54"/>
      <c r="M32" s="54"/>
      <c r="N32" s="54"/>
      <c r="O32" s="54"/>
      <c r="P32" s="54"/>
      <c r="Q32" s="54"/>
      <c r="R32" s="54"/>
      <c r="S32" s="54"/>
      <c r="T32" s="54"/>
      <c r="U32" s="54"/>
      <c r="V32" s="54"/>
      <c r="W32" s="54"/>
      <c r="X32" s="57">
        <f>(X29-X26)/X29</f>
        <v>6.4699999999999938E-2</v>
      </c>
      <c r="Y32" s="40"/>
    </row>
    <row r="33" spans="5:25" ht="19.5">
      <c r="E33">
        <f>E32*0.9425*14.4*0.96</f>
        <v>872.95104000000003</v>
      </c>
      <c r="F33">
        <f>F32*0.9325*14.4*0.96</f>
        <v>3132.4838399999999</v>
      </c>
      <c r="L33" s="54"/>
      <c r="M33" s="54"/>
      <c r="N33" s="54"/>
      <c r="O33" s="54"/>
      <c r="P33" s="54"/>
      <c r="Q33" s="54"/>
      <c r="R33" s="54"/>
      <c r="S33" s="54"/>
      <c r="T33" s="54"/>
      <c r="U33" s="54"/>
      <c r="V33" s="54"/>
      <c r="W33" s="54"/>
      <c r="X33" s="57">
        <f t="shared" ref="X33:X34" si="25">(X30-X27)/X30</f>
        <v>6.533870967741931E-2</v>
      </c>
      <c r="Y33" s="40"/>
    </row>
    <row r="34" spans="5:25" ht="19.5">
      <c r="F34">
        <f>F33+E33</f>
        <v>4005.4348799999998</v>
      </c>
      <c r="L34" s="54"/>
      <c r="M34" s="54"/>
      <c r="N34" s="54"/>
      <c r="O34" s="54"/>
      <c r="P34" s="54"/>
      <c r="Q34" s="54"/>
      <c r="R34" s="54"/>
      <c r="S34" s="54"/>
      <c r="T34" s="54"/>
      <c r="U34" s="54"/>
      <c r="V34" s="54"/>
      <c r="W34" s="54"/>
      <c r="X34" s="57">
        <f t="shared" si="25"/>
        <v>6.4157534246575262E-2</v>
      </c>
      <c r="Y34" s="40"/>
    </row>
    <row r="35" spans="5:25" ht="19.5">
      <c r="J35" s="87" t="s">
        <v>16</v>
      </c>
      <c r="K35" s="88"/>
      <c r="L35" s="89"/>
    </row>
    <row r="36" spans="5:25" ht="19.5">
      <c r="L36" s="43">
        <f t="shared" ref="L36:W36" si="26">L10</f>
        <v>773.45280000000002</v>
      </c>
      <c r="M36" s="43">
        <f t="shared" si="26"/>
        <v>799.23455999999999</v>
      </c>
      <c r="N36" s="43">
        <f t="shared" si="26"/>
        <v>515.63520000000005</v>
      </c>
      <c r="O36" s="43">
        <f t="shared" si="26"/>
        <v>605.87135999999998</v>
      </c>
      <c r="P36" s="43">
        <f t="shared" si="26"/>
        <v>799.23455999999999</v>
      </c>
      <c r="Q36" s="43">
        <f t="shared" si="26"/>
        <v>773.45280000000002</v>
      </c>
      <c r="R36" s="43">
        <f t="shared" si="26"/>
        <v>799.23455999999999</v>
      </c>
      <c r="S36" s="43">
        <f t="shared" si="26"/>
        <v>773.45280000000002</v>
      </c>
      <c r="T36" s="43">
        <f t="shared" si="26"/>
        <v>799.23455999999999</v>
      </c>
      <c r="U36" s="43">
        <f t="shared" si="26"/>
        <v>799.23455999999999</v>
      </c>
      <c r="V36" s="43">
        <f t="shared" si="26"/>
        <v>721.8892800000001</v>
      </c>
      <c r="W36" s="43">
        <f t="shared" si="26"/>
        <v>799.23455999999999</v>
      </c>
      <c r="X36" s="45">
        <f t="shared" ref="X36:X41" si="27">SUM(L36:W36)</f>
        <v>8959.1615999999995</v>
      </c>
      <c r="Y36" s="40">
        <f>X36/(28.8*0.9325*365)</f>
        <v>0.91397260273972591</v>
      </c>
    </row>
    <row r="37" spans="5:25" ht="19.5">
      <c r="J37" t="s">
        <v>87</v>
      </c>
      <c r="L37" s="39">
        <f>14.4*0.9325*$L$7*0.96</f>
        <v>386.72640000000001</v>
      </c>
      <c r="M37" s="39">
        <f>14.4*0.9325*$M$7*0.96</f>
        <v>399.61727999999999</v>
      </c>
      <c r="N37" s="39">
        <f>14.4*0.9325*$N$7*0.96*30/30</f>
        <v>386.72640000000007</v>
      </c>
      <c r="O37" s="39">
        <f>14.4*0.9325*$O$7*0.96*31/31</f>
        <v>399.61727999999999</v>
      </c>
      <c r="P37" s="39">
        <f>28.8/2*0.9325*$P$7*0.96</f>
        <v>399.61727999999999</v>
      </c>
      <c r="Q37" s="44">
        <f>Q36/2</f>
        <v>386.72640000000001</v>
      </c>
      <c r="R37" s="44">
        <f t="shared" ref="R37" si="28">R36/2</f>
        <v>399.61727999999999</v>
      </c>
      <c r="S37" s="44">
        <f t="shared" ref="S37" si="29">S36/2</f>
        <v>386.72640000000001</v>
      </c>
      <c r="T37" s="44">
        <f t="shared" ref="T37" si="30">T36/2</f>
        <v>399.61727999999999</v>
      </c>
      <c r="U37" s="44">
        <f t="shared" ref="U37" si="31">U36/2</f>
        <v>399.61727999999999</v>
      </c>
      <c r="V37" s="44">
        <f t="shared" ref="V37" si="32">V36/2</f>
        <v>360.94464000000005</v>
      </c>
      <c r="W37" s="44">
        <f t="shared" ref="W37" si="33">W36/2</f>
        <v>399.61727999999999</v>
      </c>
      <c r="X37" s="45">
        <f t="shared" si="27"/>
        <v>4705.1711999999998</v>
      </c>
      <c r="Y37" s="40">
        <f>X37/(14.4*0.9325*365)</f>
        <v>0.95999999999999985</v>
      </c>
    </row>
    <row r="38" spans="5:25" ht="19.5">
      <c r="J38" t="s">
        <v>88</v>
      </c>
      <c r="L38" s="39">
        <f>14.4*0.9325*$L$7*0.96</f>
        <v>386.72640000000001</v>
      </c>
      <c r="M38" s="39">
        <f>14.4*0.9325*$M$7*0.96</f>
        <v>399.61727999999999</v>
      </c>
      <c r="N38" s="39">
        <f>14.4*0.9325*$N$7*0.96*10/30</f>
        <v>128.90880000000001</v>
      </c>
      <c r="O38" s="39">
        <f>14.4*0.9325*$O$7*0.96*16/31</f>
        <v>206.25407999999999</v>
      </c>
      <c r="P38" s="44">
        <f>P37</f>
        <v>399.61727999999999</v>
      </c>
      <c r="Q38" s="44">
        <f>Q37</f>
        <v>386.72640000000001</v>
      </c>
      <c r="R38" s="44">
        <f t="shared" ref="R38" si="34">R37</f>
        <v>399.61727999999999</v>
      </c>
      <c r="S38" s="44">
        <f t="shared" ref="S38" si="35">S37</f>
        <v>386.72640000000001</v>
      </c>
      <c r="T38" s="44">
        <f t="shared" ref="T38" si="36">T37</f>
        <v>399.61727999999999</v>
      </c>
      <c r="U38" s="44">
        <f t="shared" ref="U38" si="37">U37</f>
        <v>399.61727999999999</v>
      </c>
      <c r="V38" s="44">
        <f t="shared" ref="V38" si="38">V37</f>
        <v>360.94464000000005</v>
      </c>
      <c r="W38" s="44">
        <f t="shared" ref="W38" si="39">W37</f>
        <v>399.61727999999999</v>
      </c>
      <c r="X38" s="45">
        <f t="shared" si="27"/>
        <v>4253.9904000000006</v>
      </c>
      <c r="Y38" s="40">
        <f>X38/(14.4*0.9325*365)</f>
        <v>0.86794520547945209</v>
      </c>
    </row>
    <row r="39" spans="5:25" ht="19.5">
      <c r="L39" s="54">
        <f>L36/0.9325</f>
        <v>829.44</v>
      </c>
      <c r="M39" s="54">
        <f t="shared" ref="M39:W39" si="40">M36/0.9325</f>
        <v>857.08799999999997</v>
      </c>
      <c r="N39" s="54">
        <f t="shared" si="40"/>
        <v>552.96</v>
      </c>
      <c r="O39" s="54">
        <f t="shared" si="40"/>
        <v>649.72799999999995</v>
      </c>
      <c r="P39" s="54">
        <f t="shared" si="40"/>
        <v>857.08799999999997</v>
      </c>
      <c r="Q39" s="54">
        <f t="shared" si="40"/>
        <v>829.44</v>
      </c>
      <c r="R39" s="54">
        <f t="shared" si="40"/>
        <v>857.08799999999997</v>
      </c>
      <c r="S39" s="54">
        <f t="shared" si="40"/>
        <v>829.44</v>
      </c>
      <c r="T39" s="54">
        <f t="shared" si="40"/>
        <v>857.08799999999997</v>
      </c>
      <c r="U39" s="54">
        <f t="shared" si="40"/>
        <v>857.08799999999997</v>
      </c>
      <c r="V39" s="54">
        <f t="shared" si="40"/>
        <v>774.14400000000012</v>
      </c>
      <c r="W39" s="54">
        <f t="shared" si="40"/>
        <v>857.08799999999997</v>
      </c>
      <c r="X39" s="45">
        <f t="shared" si="27"/>
        <v>9607.68</v>
      </c>
      <c r="Y39" s="40"/>
    </row>
    <row r="40" spans="5:25" ht="19.5">
      <c r="L40" s="54">
        <f t="shared" ref="L40:W41" si="41">L37/0.9325</f>
        <v>414.72</v>
      </c>
      <c r="M40" s="54">
        <f t="shared" si="41"/>
        <v>428.54399999999998</v>
      </c>
      <c r="N40" s="54">
        <f t="shared" si="41"/>
        <v>414.72000000000008</v>
      </c>
      <c r="O40" s="54">
        <f t="shared" si="41"/>
        <v>428.54399999999998</v>
      </c>
      <c r="P40" s="54">
        <f t="shared" si="41"/>
        <v>428.54399999999998</v>
      </c>
      <c r="Q40" s="54">
        <f t="shared" si="41"/>
        <v>414.72</v>
      </c>
      <c r="R40" s="54">
        <f t="shared" si="41"/>
        <v>428.54399999999998</v>
      </c>
      <c r="S40" s="54">
        <f t="shared" si="41"/>
        <v>414.72</v>
      </c>
      <c r="T40" s="54">
        <f t="shared" si="41"/>
        <v>428.54399999999998</v>
      </c>
      <c r="U40" s="54">
        <f t="shared" si="41"/>
        <v>428.54399999999998</v>
      </c>
      <c r="V40" s="54">
        <f t="shared" si="41"/>
        <v>387.07200000000006</v>
      </c>
      <c r="W40" s="54">
        <f t="shared" si="41"/>
        <v>428.54399999999998</v>
      </c>
      <c r="X40" s="45">
        <f t="shared" si="27"/>
        <v>5045.76</v>
      </c>
      <c r="Y40" s="40"/>
    </row>
    <row r="41" spans="5:25" ht="19.5">
      <c r="L41" s="54">
        <f t="shared" si="41"/>
        <v>414.72</v>
      </c>
      <c r="M41" s="54">
        <f t="shared" si="41"/>
        <v>428.54399999999998</v>
      </c>
      <c r="N41" s="54">
        <f t="shared" si="41"/>
        <v>138.24</v>
      </c>
      <c r="O41" s="54">
        <f t="shared" si="41"/>
        <v>221.184</v>
      </c>
      <c r="P41" s="54">
        <f t="shared" si="41"/>
        <v>428.54399999999998</v>
      </c>
      <c r="Q41" s="54">
        <f t="shared" si="41"/>
        <v>414.72</v>
      </c>
      <c r="R41" s="54">
        <f t="shared" si="41"/>
        <v>428.54399999999998</v>
      </c>
      <c r="S41" s="54">
        <f t="shared" si="41"/>
        <v>414.72</v>
      </c>
      <c r="T41" s="54">
        <f t="shared" si="41"/>
        <v>428.54399999999998</v>
      </c>
      <c r="U41" s="54">
        <f t="shared" si="41"/>
        <v>428.54399999999998</v>
      </c>
      <c r="V41" s="54">
        <f t="shared" si="41"/>
        <v>387.07200000000006</v>
      </c>
      <c r="W41" s="54">
        <f t="shared" si="41"/>
        <v>428.54399999999998</v>
      </c>
      <c r="X41" s="45">
        <f t="shared" si="27"/>
        <v>4561.92</v>
      </c>
      <c r="Y41" s="40"/>
    </row>
    <row r="42" spans="5:25" ht="19.5">
      <c r="L42" s="54"/>
      <c r="M42" s="54"/>
      <c r="N42" s="54"/>
      <c r="O42" s="54"/>
      <c r="P42" s="54"/>
      <c r="Q42" s="54"/>
      <c r="R42" s="54"/>
      <c r="S42" s="54"/>
      <c r="T42" s="54"/>
      <c r="U42" s="54"/>
      <c r="V42" s="54"/>
      <c r="W42" s="54"/>
      <c r="X42" s="57">
        <f>(X39-X36)/X39</f>
        <v>6.7500000000000088E-2</v>
      </c>
      <c r="Y42" s="40"/>
    </row>
    <row r="43" spans="5:25" ht="19.5">
      <c r="L43" s="54"/>
      <c r="M43" s="54"/>
      <c r="N43" s="54"/>
      <c r="O43" s="54"/>
      <c r="P43" s="54"/>
      <c r="Q43" s="54"/>
      <c r="R43" s="54"/>
      <c r="S43" s="54"/>
      <c r="T43" s="54"/>
      <c r="U43" s="54"/>
      <c r="V43" s="54"/>
      <c r="W43" s="54"/>
      <c r="X43" s="57">
        <f t="shared" ref="X43:X44" si="42">(X40-X37)/X40</f>
        <v>6.7500000000000088E-2</v>
      </c>
      <c r="Y43" s="40"/>
    </row>
    <row r="44" spans="5:25" ht="19.5">
      <c r="L44" s="54"/>
      <c r="M44" s="54"/>
      <c r="N44" s="54"/>
      <c r="O44" s="54"/>
      <c r="P44" s="54"/>
      <c r="Q44" s="54"/>
      <c r="R44" s="54"/>
      <c r="S44" s="54"/>
      <c r="T44" s="54"/>
      <c r="U44" s="54"/>
      <c r="V44" s="54"/>
      <c r="W44" s="54"/>
      <c r="X44" s="57">
        <f t="shared" si="42"/>
        <v>6.749999999999988E-2</v>
      </c>
      <c r="Y44" s="40"/>
    </row>
    <row r="46" spans="5:25" ht="19.5">
      <c r="J46" s="87" t="s">
        <v>17</v>
      </c>
      <c r="K46" s="88"/>
      <c r="L46" s="89"/>
    </row>
    <row r="47" spans="5:25" ht="19.5">
      <c r="L47" s="43">
        <f>L11</f>
        <v>773.45280000000002</v>
      </c>
      <c r="M47" s="43">
        <f t="shared" ref="M47:W47" si="43">M11</f>
        <v>799.23455999999999</v>
      </c>
      <c r="N47" s="43">
        <f t="shared" si="43"/>
        <v>515.63520000000005</v>
      </c>
      <c r="O47" s="43">
        <f t="shared" si="43"/>
        <v>605.87135999999998</v>
      </c>
      <c r="P47" s="43">
        <f t="shared" si="43"/>
        <v>799.23455999999999</v>
      </c>
      <c r="Q47" s="43">
        <f t="shared" si="43"/>
        <v>773.45280000000002</v>
      </c>
      <c r="R47" s="43">
        <f t="shared" si="43"/>
        <v>799.23455999999999</v>
      </c>
      <c r="S47" s="43">
        <f t="shared" si="43"/>
        <v>773.45280000000002</v>
      </c>
      <c r="T47" s="43">
        <f t="shared" si="43"/>
        <v>799.23455999999999</v>
      </c>
      <c r="U47" s="43">
        <f t="shared" si="43"/>
        <v>799.23455999999999</v>
      </c>
      <c r="V47" s="43">
        <f t="shared" si="43"/>
        <v>721.8892800000001</v>
      </c>
      <c r="W47" s="43">
        <f t="shared" si="43"/>
        <v>799.23455999999999</v>
      </c>
      <c r="X47" s="45">
        <f t="shared" ref="X47:X52" si="44">SUM(L47:W47)</f>
        <v>8959.1615999999995</v>
      </c>
      <c r="Y47" s="40">
        <f>X47/(28.8*0.9325*365)</f>
        <v>0.91397260273972591</v>
      </c>
    </row>
    <row r="48" spans="5:25" ht="19.5">
      <c r="J48" t="s">
        <v>87</v>
      </c>
      <c r="L48" s="39">
        <f>14.4*0.9325*$L$7*0.96</f>
        <v>386.72640000000001</v>
      </c>
      <c r="M48" s="39">
        <f>14.4*0.9325*$M$7*0.96</f>
        <v>399.61727999999999</v>
      </c>
      <c r="N48" s="39">
        <f>14.4*0.9325*$N$7*0.96*10/30</f>
        <v>128.90880000000001</v>
      </c>
      <c r="O48" s="39">
        <f>14.4*0.9325*$O$7*0.96*16/31</f>
        <v>206.25407999999999</v>
      </c>
      <c r="P48" s="39">
        <f>28.8/2*0.9325*$P$7*0.96</f>
        <v>399.61727999999999</v>
      </c>
      <c r="Q48" s="44">
        <f>Q47/2</f>
        <v>386.72640000000001</v>
      </c>
      <c r="R48" s="44">
        <f t="shared" ref="R48" si="45">R47/2</f>
        <v>399.61727999999999</v>
      </c>
      <c r="S48" s="44">
        <f t="shared" ref="S48" si="46">S47/2</f>
        <v>386.72640000000001</v>
      </c>
      <c r="T48" s="44">
        <f t="shared" ref="T48" si="47">T47/2</f>
        <v>399.61727999999999</v>
      </c>
      <c r="U48" s="44">
        <f t="shared" ref="U48" si="48">U47/2</f>
        <v>399.61727999999999</v>
      </c>
      <c r="V48" s="44">
        <f t="shared" ref="V48" si="49">V47/2</f>
        <v>360.94464000000005</v>
      </c>
      <c r="W48" s="44">
        <f t="shared" ref="W48" si="50">W47/2</f>
        <v>399.61727999999999</v>
      </c>
      <c r="X48" s="45">
        <f t="shared" si="44"/>
        <v>4253.9904000000006</v>
      </c>
      <c r="Y48" s="40">
        <f>X48/(14.4*0.9325*365)</f>
        <v>0.86794520547945209</v>
      </c>
    </row>
    <row r="49" spans="10:25" ht="19.5">
      <c r="J49" t="s">
        <v>88</v>
      </c>
      <c r="L49" s="39">
        <f>14.4*0.9325*$L$7*0.96</f>
        <v>386.72640000000001</v>
      </c>
      <c r="M49" s="39">
        <f>14.4*0.9325*$M$7*0.96</f>
        <v>399.61727999999999</v>
      </c>
      <c r="N49" s="39">
        <f>14.4*0.9325*$N$7*0.96*30/30</f>
        <v>386.72640000000007</v>
      </c>
      <c r="O49" s="39">
        <f>14.4*0.9325*$O$7*0.96*31/31</f>
        <v>399.61727999999999</v>
      </c>
      <c r="P49" s="44">
        <f>P48</f>
        <v>399.61727999999999</v>
      </c>
      <c r="Q49" s="44">
        <f>Q48</f>
        <v>386.72640000000001</v>
      </c>
      <c r="R49" s="44">
        <f t="shared" ref="R49" si="51">R48</f>
        <v>399.61727999999999</v>
      </c>
      <c r="S49" s="44">
        <f t="shared" ref="S49" si="52">S48</f>
        <v>386.72640000000001</v>
      </c>
      <c r="T49" s="44">
        <f t="shared" ref="T49" si="53">T48</f>
        <v>399.61727999999999</v>
      </c>
      <c r="U49" s="44">
        <f t="shared" ref="U49" si="54">U48</f>
        <v>399.61727999999999</v>
      </c>
      <c r="V49" s="44">
        <f t="shared" ref="V49" si="55">V48</f>
        <v>360.94464000000005</v>
      </c>
      <c r="W49" s="44">
        <f t="shared" ref="W49" si="56">W48</f>
        <v>399.61727999999999</v>
      </c>
      <c r="X49" s="45">
        <f t="shared" si="44"/>
        <v>4705.1711999999998</v>
      </c>
      <c r="Y49" s="40">
        <f>X49/(14.4*0.9325*365)</f>
        <v>0.95999999999999985</v>
      </c>
    </row>
    <row r="50" spans="10:25" ht="19.5">
      <c r="L50" s="54">
        <f>L47/0.9325</f>
        <v>829.44</v>
      </c>
      <c r="M50" s="54">
        <f t="shared" ref="M50:W50" si="57">M47/0.9325</f>
        <v>857.08799999999997</v>
      </c>
      <c r="N50" s="54">
        <f t="shared" si="57"/>
        <v>552.96</v>
      </c>
      <c r="O50" s="54">
        <f t="shared" si="57"/>
        <v>649.72799999999995</v>
      </c>
      <c r="P50" s="54">
        <f t="shared" si="57"/>
        <v>857.08799999999997</v>
      </c>
      <c r="Q50" s="54">
        <f t="shared" si="57"/>
        <v>829.44</v>
      </c>
      <c r="R50" s="54">
        <f t="shared" si="57"/>
        <v>857.08799999999997</v>
      </c>
      <c r="S50" s="54">
        <f t="shared" si="57"/>
        <v>829.44</v>
      </c>
      <c r="T50" s="54">
        <f t="shared" si="57"/>
        <v>857.08799999999997</v>
      </c>
      <c r="U50" s="54">
        <f t="shared" si="57"/>
        <v>857.08799999999997</v>
      </c>
      <c r="V50" s="54">
        <f t="shared" si="57"/>
        <v>774.14400000000012</v>
      </c>
      <c r="W50" s="54">
        <f t="shared" si="57"/>
        <v>857.08799999999997</v>
      </c>
      <c r="X50" s="45">
        <f t="shared" si="44"/>
        <v>9607.68</v>
      </c>
      <c r="Y50" s="40"/>
    </row>
    <row r="51" spans="10:25" ht="19.5">
      <c r="L51" s="54">
        <f t="shared" ref="L51:W51" si="58">L48/0.9325</f>
        <v>414.72</v>
      </c>
      <c r="M51" s="54">
        <f t="shared" si="58"/>
        <v>428.54399999999998</v>
      </c>
      <c r="N51" s="54">
        <f t="shared" si="58"/>
        <v>138.24</v>
      </c>
      <c r="O51" s="54">
        <f t="shared" si="58"/>
        <v>221.184</v>
      </c>
      <c r="P51" s="54">
        <f t="shared" si="58"/>
        <v>428.54399999999998</v>
      </c>
      <c r="Q51" s="54">
        <f t="shared" si="58"/>
        <v>414.72</v>
      </c>
      <c r="R51" s="54">
        <f t="shared" si="58"/>
        <v>428.54399999999998</v>
      </c>
      <c r="S51" s="54">
        <f t="shared" si="58"/>
        <v>414.72</v>
      </c>
      <c r="T51" s="54">
        <f t="shared" si="58"/>
        <v>428.54399999999998</v>
      </c>
      <c r="U51" s="54">
        <f t="shared" si="58"/>
        <v>428.54399999999998</v>
      </c>
      <c r="V51" s="54">
        <f t="shared" si="58"/>
        <v>387.07200000000006</v>
      </c>
      <c r="W51" s="54">
        <f t="shared" si="58"/>
        <v>428.54399999999998</v>
      </c>
      <c r="X51" s="45">
        <f t="shared" si="44"/>
        <v>4561.92</v>
      </c>
      <c r="Y51" s="40"/>
    </row>
    <row r="52" spans="10:25" ht="19.5">
      <c r="L52" s="54">
        <f t="shared" ref="L52:W52" si="59">L49/0.9325</f>
        <v>414.72</v>
      </c>
      <c r="M52" s="54">
        <f t="shared" si="59"/>
        <v>428.54399999999998</v>
      </c>
      <c r="N52" s="54">
        <f t="shared" si="59"/>
        <v>414.72000000000008</v>
      </c>
      <c r="O52" s="54">
        <f t="shared" si="59"/>
        <v>428.54399999999998</v>
      </c>
      <c r="P52" s="54">
        <f t="shared" si="59"/>
        <v>428.54399999999998</v>
      </c>
      <c r="Q52" s="54">
        <f t="shared" si="59"/>
        <v>414.72</v>
      </c>
      <c r="R52" s="54">
        <f t="shared" si="59"/>
        <v>428.54399999999998</v>
      </c>
      <c r="S52" s="54">
        <f t="shared" si="59"/>
        <v>414.72</v>
      </c>
      <c r="T52" s="54">
        <f t="shared" si="59"/>
        <v>428.54399999999998</v>
      </c>
      <c r="U52" s="54">
        <f t="shared" si="59"/>
        <v>428.54399999999998</v>
      </c>
      <c r="V52" s="54">
        <f t="shared" si="59"/>
        <v>387.07200000000006</v>
      </c>
      <c r="W52" s="54">
        <f t="shared" si="59"/>
        <v>428.54399999999998</v>
      </c>
      <c r="X52" s="45">
        <f t="shared" si="44"/>
        <v>5045.76</v>
      </c>
      <c r="Y52" s="40"/>
    </row>
    <row r="53" spans="10:25" ht="19.5">
      <c r="L53" s="54"/>
      <c r="M53" s="54"/>
      <c r="N53" s="54"/>
      <c r="O53" s="54"/>
      <c r="P53" s="54"/>
      <c r="Q53" s="54"/>
      <c r="R53" s="54"/>
      <c r="S53" s="54"/>
      <c r="T53" s="54"/>
      <c r="U53" s="54"/>
      <c r="V53" s="54"/>
      <c r="W53" s="54"/>
      <c r="X53" s="57">
        <f>(X50-X47)/X50</f>
        <v>6.7500000000000088E-2</v>
      </c>
      <c r="Y53" s="40"/>
    </row>
    <row r="54" spans="10:25" ht="19.5">
      <c r="L54" s="54"/>
      <c r="M54" s="54"/>
      <c r="N54" s="54"/>
      <c r="O54" s="54"/>
      <c r="P54" s="54"/>
      <c r="Q54" s="54"/>
      <c r="R54" s="54"/>
      <c r="S54" s="54"/>
      <c r="T54" s="54"/>
      <c r="U54" s="54"/>
      <c r="V54" s="54"/>
      <c r="W54" s="54"/>
      <c r="X54" s="57">
        <f t="shared" ref="X54:X55" si="60">(X51-X48)/X51</f>
        <v>6.749999999999988E-2</v>
      </c>
      <c r="Y54" s="40"/>
    </row>
    <row r="55" spans="10:25" ht="19.5">
      <c r="L55" s="54"/>
      <c r="M55" s="54"/>
      <c r="N55" s="54"/>
      <c r="O55" s="54"/>
      <c r="P55" s="54"/>
      <c r="Q55" s="54"/>
      <c r="R55" s="54"/>
      <c r="S55" s="54"/>
      <c r="T55" s="54"/>
      <c r="U55" s="54"/>
      <c r="V55" s="54"/>
      <c r="W55" s="54"/>
      <c r="X55" s="57">
        <f t="shared" si="60"/>
        <v>6.7500000000000088E-2</v>
      </c>
      <c r="Y55" s="40"/>
    </row>
    <row r="56" spans="10:25" ht="19.5">
      <c r="L56" s="54"/>
      <c r="M56" s="54"/>
      <c r="N56" s="54"/>
      <c r="O56" s="54"/>
      <c r="P56" s="55"/>
      <c r="Q56" s="55"/>
      <c r="R56" s="55"/>
      <c r="S56" s="55"/>
      <c r="T56" s="55"/>
      <c r="U56" s="55"/>
      <c r="V56" s="55"/>
      <c r="W56" s="55"/>
      <c r="X56" s="56"/>
      <c r="Y56" s="40"/>
    </row>
    <row r="58" spans="10:25" ht="19.5">
      <c r="J58" s="87" t="s">
        <v>18</v>
      </c>
      <c r="K58" s="88"/>
      <c r="L58" s="89"/>
    </row>
    <row r="59" spans="10:25" ht="19.5">
      <c r="L59" s="43">
        <f>L12</f>
        <v>773.45280000000002</v>
      </c>
      <c r="M59" s="43">
        <f t="shared" ref="M59:W59" si="61">M12</f>
        <v>799.23455999999999</v>
      </c>
      <c r="N59" s="43">
        <f t="shared" si="61"/>
        <v>515.63520000000005</v>
      </c>
      <c r="O59" s="43">
        <f t="shared" si="61"/>
        <v>605.87135999999998</v>
      </c>
      <c r="P59" s="43">
        <f t="shared" si="61"/>
        <v>799.23455999999999</v>
      </c>
      <c r="Q59" s="43">
        <f t="shared" si="61"/>
        <v>773.45280000000002</v>
      </c>
      <c r="R59" s="43">
        <f t="shared" si="61"/>
        <v>799.23455999999999</v>
      </c>
      <c r="S59" s="43">
        <f t="shared" si="61"/>
        <v>773.45280000000002</v>
      </c>
      <c r="T59" s="43">
        <f t="shared" si="61"/>
        <v>799.23455999999999</v>
      </c>
      <c r="U59" s="43">
        <f t="shared" si="61"/>
        <v>799.23455999999999</v>
      </c>
      <c r="V59" s="43">
        <f t="shared" si="61"/>
        <v>747.67104000000006</v>
      </c>
      <c r="W59" s="43">
        <f t="shared" si="61"/>
        <v>799.23455999999999</v>
      </c>
      <c r="X59" s="45">
        <f t="shared" ref="X59:X64" si="62">SUM(L59:W59)</f>
        <v>8984.9433599999993</v>
      </c>
      <c r="Y59" s="40">
        <f>X59/(28.8*0.9325*366)</f>
        <v>0.91409836065573757</v>
      </c>
    </row>
    <row r="60" spans="10:25" ht="19.5">
      <c r="J60" t="s">
        <v>87</v>
      </c>
      <c r="L60" s="39">
        <f>14.4*0.9325*$L$7*0.96</f>
        <v>386.72640000000001</v>
      </c>
      <c r="M60" s="39">
        <f>14.4*0.9325*$M$7*0.96</f>
        <v>399.61727999999999</v>
      </c>
      <c r="N60" s="39">
        <f>14.4*0.9325*$N$7*0.96*30/30</f>
        <v>386.72640000000007</v>
      </c>
      <c r="O60" s="39">
        <f>14.4*0.9325*$O$7*0.96*31/31</f>
        <v>399.61727999999999</v>
      </c>
      <c r="P60" s="39">
        <f>28.8/2*0.9325*$P$7*0.96</f>
        <v>399.61727999999999</v>
      </c>
      <c r="Q60" s="44">
        <f>Q59/2</f>
        <v>386.72640000000001</v>
      </c>
      <c r="R60" s="44">
        <f t="shared" ref="R60" si="63">R59/2</f>
        <v>399.61727999999999</v>
      </c>
      <c r="S60" s="44">
        <f t="shared" ref="S60" si="64">S59/2</f>
        <v>386.72640000000001</v>
      </c>
      <c r="T60" s="44">
        <f t="shared" ref="T60" si="65">T59/2</f>
        <v>399.61727999999999</v>
      </c>
      <c r="U60" s="44">
        <f t="shared" ref="U60" si="66">U59/2</f>
        <v>399.61727999999999</v>
      </c>
      <c r="V60" s="44">
        <f t="shared" ref="V60" si="67">V59/2</f>
        <v>373.83552000000003</v>
      </c>
      <c r="W60" s="44">
        <f t="shared" ref="W60" si="68">W59/2</f>
        <v>399.61727999999999</v>
      </c>
      <c r="X60" s="45">
        <f t="shared" si="62"/>
        <v>4718.0620799999997</v>
      </c>
      <c r="Y60" s="40">
        <f>X60/(14.4*0.9325*366)</f>
        <v>0.96</v>
      </c>
    </row>
    <row r="61" spans="10:25" ht="19.5">
      <c r="J61" t="s">
        <v>88</v>
      </c>
      <c r="L61" s="39">
        <f>14.4*0.9325*$L$7*0.96</f>
        <v>386.72640000000001</v>
      </c>
      <c r="M61" s="39">
        <f>14.4*0.9325*$M$7*0.96</f>
        <v>399.61727999999999</v>
      </c>
      <c r="N61" s="39">
        <f>14.4*0.9325*$N$7*0.96*10/30</f>
        <v>128.90880000000001</v>
      </c>
      <c r="O61" s="39">
        <f>14.4*0.9325*$O$7*0.96*16/31</f>
        <v>206.25407999999999</v>
      </c>
      <c r="P61" s="44">
        <f>P60</f>
        <v>399.61727999999999</v>
      </c>
      <c r="Q61" s="44">
        <f>Q60</f>
        <v>386.72640000000001</v>
      </c>
      <c r="R61" s="44">
        <f t="shared" ref="R61" si="69">R60</f>
        <v>399.61727999999999</v>
      </c>
      <c r="S61" s="44">
        <f t="shared" ref="S61" si="70">S60</f>
        <v>386.72640000000001</v>
      </c>
      <c r="T61" s="44">
        <f t="shared" ref="T61" si="71">T60</f>
        <v>399.61727999999999</v>
      </c>
      <c r="U61" s="44">
        <f t="shared" ref="U61" si="72">U60</f>
        <v>399.61727999999999</v>
      </c>
      <c r="V61" s="44">
        <f t="shared" ref="V61" si="73">V60</f>
        <v>373.83552000000003</v>
      </c>
      <c r="W61" s="44">
        <f t="shared" ref="W61" si="74">W60</f>
        <v>399.61727999999999</v>
      </c>
      <c r="X61" s="45">
        <f t="shared" si="62"/>
        <v>4266.8812800000005</v>
      </c>
      <c r="Y61" s="40">
        <f>X61/(14.4*0.9325*366)</f>
        <v>0.86819672131147552</v>
      </c>
    </row>
    <row r="62" spans="10:25" ht="19.5">
      <c r="L62" s="54">
        <f>L59/0.9325</f>
        <v>829.44</v>
      </c>
      <c r="M62" s="54">
        <f t="shared" ref="M62:W62" si="75">M59/0.9325</f>
        <v>857.08799999999997</v>
      </c>
      <c r="N62" s="54">
        <f t="shared" si="75"/>
        <v>552.96</v>
      </c>
      <c r="O62" s="54">
        <f t="shared" si="75"/>
        <v>649.72799999999995</v>
      </c>
      <c r="P62" s="54">
        <f t="shared" si="75"/>
        <v>857.08799999999997</v>
      </c>
      <c r="Q62" s="54">
        <f t="shared" si="75"/>
        <v>829.44</v>
      </c>
      <c r="R62" s="54">
        <f t="shared" si="75"/>
        <v>857.08799999999997</v>
      </c>
      <c r="S62" s="54">
        <f t="shared" si="75"/>
        <v>829.44</v>
      </c>
      <c r="T62" s="54">
        <f t="shared" si="75"/>
        <v>857.08799999999997</v>
      </c>
      <c r="U62" s="54">
        <f t="shared" si="75"/>
        <v>857.08799999999997</v>
      </c>
      <c r="V62" s="54">
        <f t="shared" si="75"/>
        <v>801.79200000000003</v>
      </c>
      <c r="W62" s="54">
        <f t="shared" si="75"/>
        <v>857.08799999999997</v>
      </c>
      <c r="X62" s="45">
        <f t="shared" si="62"/>
        <v>9635.3279999999995</v>
      </c>
      <c r="Y62" s="40"/>
    </row>
    <row r="63" spans="10:25" ht="19.5">
      <c r="L63" s="54">
        <f t="shared" ref="L63:W63" si="76">L60/0.9325</f>
        <v>414.72</v>
      </c>
      <c r="M63" s="54">
        <f t="shared" si="76"/>
        <v>428.54399999999998</v>
      </c>
      <c r="N63" s="54">
        <f t="shared" si="76"/>
        <v>414.72000000000008</v>
      </c>
      <c r="O63" s="54">
        <f t="shared" si="76"/>
        <v>428.54399999999998</v>
      </c>
      <c r="P63" s="54">
        <f t="shared" si="76"/>
        <v>428.54399999999998</v>
      </c>
      <c r="Q63" s="54">
        <f t="shared" si="76"/>
        <v>414.72</v>
      </c>
      <c r="R63" s="54">
        <f t="shared" si="76"/>
        <v>428.54399999999998</v>
      </c>
      <c r="S63" s="54">
        <f t="shared" si="76"/>
        <v>414.72</v>
      </c>
      <c r="T63" s="54">
        <f t="shared" si="76"/>
        <v>428.54399999999998</v>
      </c>
      <c r="U63" s="54">
        <f t="shared" si="76"/>
        <v>428.54399999999998</v>
      </c>
      <c r="V63" s="54">
        <f t="shared" si="76"/>
        <v>400.89600000000002</v>
      </c>
      <c r="W63" s="54">
        <f t="shared" si="76"/>
        <v>428.54399999999998</v>
      </c>
      <c r="X63" s="45">
        <f t="shared" si="62"/>
        <v>5059.5839999999998</v>
      </c>
      <c r="Y63" s="40"/>
    </row>
    <row r="64" spans="10:25" ht="19.5">
      <c r="L64" s="54">
        <f t="shared" ref="L64:W64" si="77">L61/0.9325</f>
        <v>414.72</v>
      </c>
      <c r="M64" s="54">
        <f t="shared" si="77"/>
        <v>428.54399999999998</v>
      </c>
      <c r="N64" s="54">
        <f t="shared" si="77"/>
        <v>138.24</v>
      </c>
      <c r="O64" s="54">
        <f t="shared" si="77"/>
        <v>221.184</v>
      </c>
      <c r="P64" s="54">
        <f t="shared" si="77"/>
        <v>428.54399999999998</v>
      </c>
      <c r="Q64" s="54">
        <f t="shared" si="77"/>
        <v>414.72</v>
      </c>
      <c r="R64" s="54">
        <f t="shared" si="77"/>
        <v>428.54399999999998</v>
      </c>
      <c r="S64" s="54">
        <f t="shared" si="77"/>
        <v>414.72</v>
      </c>
      <c r="T64" s="54">
        <f t="shared" si="77"/>
        <v>428.54399999999998</v>
      </c>
      <c r="U64" s="54">
        <f t="shared" si="77"/>
        <v>428.54399999999998</v>
      </c>
      <c r="V64" s="54">
        <f t="shared" si="77"/>
        <v>400.89600000000002</v>
      </c>
      <c r="W64" s="54">
        <f t="shared" si="77"/>
        <v>428.54399999999998</v>
      </c>
      <c r="X64" s="45">
        <f t="shared" si="62"/>
        <v>4575.7439999999997</v>
      </c>
      <c r="Y64" s="40"/>
    </row>
    <row r="65" spans="10:25" ht="19.5">
      <c r="L65" s="54"/>
      <c r="M65" s="54"/>
      <c r="N65" s="54"/>
      <c r="O65" s="54"/>
      <c r="P65" s="54"/>
      <c r="Q65" s="54"/>
      <c r="R65" s="54"/>
      <c r="S65" s="54"/>
      <c r="T65" s="54"/>
      <c r="U65" s="54"/>
      <c r="V65" s="54"/>
      <c r="W65" s="54"/>
      <c r="X65" s="57">
        <f>(X62-X59)/X62</f>
        <v>6.7500000000000032E-2</v>
      </c>
      <c r="Y65" s="40"/>
    </row>
    <row r="66" spans="10:25" ht="19.5">
      <c r="L66" s="54"/>
      <c r="M66" s="54"/>
      <c r="N66" s="54"/>
      <c r="O66" s="54"/>
      <c r="P66" s="54"/>
      <c r="Q66" s="54"/>
      <c r="R66" s="54"/>
      <c r="S66" s="54"/>
      <c r="T66" s="54"/>
      <c r="U66" s="54"/>
      <c r="V66" s="54"/>
      <c r="W66" s="54"/>
      <c r="X66" s="57">
        <f t="shared" ref="X66:X67" si="78">(X63-X60)/X63</f>
        <v>6.7500000000000032E-2</v>
      </c>
      <c r="Y66" s="40"/>
    </row>
    <row r="67" spans="10:25" ht="19.5">
      <c r="L67" s="54"/>
      <c r="M67" s="54"/>
      <c r="N67" s="54"/>
      <c r="O67" s="54"/>
      <c r="P67" s="54"/>
      <c r="Q67" s="54"/>
      <c r="R67" s="54"/>
      <c r="S67" s="54"/>
      <c r="T67" s="54"/>
      <c r="U67" s="54"/>
      <c r="V67" s="54"/>
      <c r="W67" s="54"/>
      <c r="X67" s="57">
        <f t="shared" si="78"/>
        <v>6.7499999999999824E-2</v>
      </c>
      <c r="Y67" s="40"/>
    </row>
    <row r="68" spans="10:25" ht="19.5">
      <c r="L68" s="54"/>
      <c r="M68" s="54"/>
      <c r="N68" s="54"/>
      <c r="O68" s="54"/>
      <c r="P68" s="55"/>
      <c r="Q68" s="55"/>
      <c r="R68" s="55"/>
      <c r="S68" s="55"/>
      <c r="T68" s="55"/>
      <c r="U68" s="55"/>
      <c r="V68" s="55"/>
      <c r="W68" s="55"/>
      <c r="X68" s="56"/>
      <c r="Y68" s="40"/>
    </row>
    <row r="69" spans="10:25" ht="19.5">
      <c r="L69" s="54"/>
      <c r="M69" s="54"/>
      <c r="N69" s="54"/>
      <c r="O69" s="54"/>
      <c r="P69" s="55"/>
      <c r="Q69" s="55"/>
      <c r="R69" s="55"/>
      <c r="S69" s="55"/>
      <c r="T69" s="55"/>
      <c r="U69" s="55"/>
      <c r="V69" s="55"/>
      <c r="W69" s="55"/>
      <c r="X69" s="56"/>
      <c r="Y69" s="40"/>
    </row>
    <row r="71" spans="10:25" ht="19.5">
      <c r="J71" s="87" t="s">
        <v>19</v>
      </c>
      <c r="K71" s="88"/>
      <c r="L71" s="89"/>
    </row>
    <row r="72" spans="10:25" ht="19.5">
      <c r="L72" s="43">
        <f>L13</f>
        <v>773.45280000000002</v>
      </c>
      <c r="M72" s="43">
        <f t="shared" ref="M72:W72" si="79">M13</f>
        <v>799.23455999999999</v>
      </c>
      <c r="N72" s="43">
        <f t="shared" si="79"/>
        <v>515.63520000000005</v>
      </c>
      <c r="O72" s="43">
        <f t="shared" si="79"/>
        <v>605.87135999999998</v>
      </c>
      <c r="P72" s="43">
        <f t="shared" si="79"/>
        <v>799.23455999999999</v>
      </c>
      <c r="Q72" s="43">
        <f t="shared" si="79"/>
        <v>773.45280000000002</v>
      </c>
      <c r="R72" s="43">
        <f t="shared" si="79"/>
        <v>799.23455999999999</v>
      </c>
      <c r="S72" s="43">
        <f t="shared" si="79"/>
        <v>773.45280000000002</v>
      </c>
      <c r="T72" s="43">
        <f t="shared" si="79"/>
        <v>799.23455999999999</v>
      </c>
      <c r="U72" s="43">
        <f t="shared" si="79"/>
        <v>799.23455999999999</v>
      </c>
      <c r="V72" s="43">
        <f t="shared" si="79"/>
        <v>721.8892800000001</v>
      </c>
      <c r="W72" s="43">
        <f t="shared" si="79"/>
        <v>799.23455999999999</v>
      </c>
      <c r="X72" s="45">
        <f t="shared" ref="X72:X77" si="80">SUM(L72:W72)</f>
        <v>8959.1615999999995</v>
      </c>
      <c r="Y72" s="40">
        <f>X72/(28.8*0.9325*365)</f>
        <v>0.91397260273972591</v>
      </c>
    </row>
    <row r="73" spans="10:25" ht="19.5">
      <c r="J73" t="s">
        <v>87</v>
      </c>
      <c r="L73" s="39">
        <f>14.4*0.9325*$L$7*0.96</f>
        <v>386.72640000000001</v>
      </c>
      <c r="M73" s="39">
        <f>14.4*0.9325*$M$7*0.96</f>
        <v>399.61727999999999</v>
      </c>
      <c r="N73" s="39">
        <f>14.4*0.9325*$N$7*0.96*10/30</f>
        <v>128.90880000000001</v>
      </c>
      <c r="O73" s="39">
        <f>14.4*0.9325*$O$7*0.96*16/31</f>
        <v>206.25407999999999</v>
      </c>
      <c r="P73" s="39">
        <f>28.8/2*0.9325*$P$7*0.96</f>
        <v>399.61727999999999</v>
      </c>
      <c r="Q73" s="44">
        <f>Q72/2</f>
        <v>386.72640000000001</v>
      </c>
      <c r="R73" s="44">
        <f t="shared" ref="R73" si="81">R72/2</f>
        <v>399.61727999999999</v>
      </c>
      <c r="S73" s="44">
        <f t="shared" ref="S73" si="82">S72/2</f>
        <v>386.72640000000001</v>
      </c>
      <c r="T73" s="44">
        <f t="shared" ref="T73" si="83">T72/2</f>
        <v>399.61727999999999</v>
      </c>
      <c r="U73" s="44">
        <f t="shared" ref="U73" si="84">U72/2</f>
        <v>399.61727999999999</v>
      </c>
      <c r="V73" s="44">
        <f t="shared" ref="V73" si="85">V72/2</f>
        <v>360.94464000000005</v>
      </c>
      <c r="W73" s="44">
        <f t="shared" ref="W73" si="86">W72/2</f>
        <v>399.61727999999999</v>
      </c>
      <c r="X73" s="45">
        <f t="shared" si="80"/>
        <v>4253.9904000000006</v>
      </c>
      <c r="Y73" s="40">
        <f>X73/(14.4*0.9325*365)</f>
        <v>0.86794520547945209</v>
      </c>
    </row>
    <row r="74" spans="10:25" ht="19.5">
      <c r="J74" t="s">
        <v>88</v>
      </c>
      <c r="L74" s="39">
        <f>14.4*0.9325*$L$7*0.96</f>
        <v>386.72640000000001</v>
      </c>
      <c r="M74" s="39">
        <f>14.4*0.9325*$M$7*0.96</f>
        <v>399.61727999999999</v>
      </c>
      <c r="N74" s="39">
        <f>14.4*0.9325*$N$7*0.96*30/30</f>
        <v>386.72640000000007</v>
      </c>
      <c r="O74" s="39">
        <f>14.4*0.9325*$O$7*0.96*31/31</f>
        <v>399.61727999999999</v>
      </c>
      <c r="P74" s="44">
        <f>P73</f>
        <v>399.61727999999999</v>
      </c>
      <c r="Q74" s="44">
        <f>Q73</f>
        <v>386.72640000000001</v>
      </c>
      <c r="R74" s="44">
        <f t="shared" ref="R74" si="87">R73</f>
        <v>399.61727999999999</v>
      </c>
      <c r="S74" s="44">
        <f t="shared" ref="S74" si="88">S73</f>
        <v>386.72640000000001</v>
      </c>
      <c r="T74" s="44">
        <f t="shared" ref="T74" si="89">T73</f>
        <v>399.61727999999999</v>
      </c>
      <c r="U74" s="44">
        <f t="shared" ref="U74" si="90">U73</f>
        <v>399.61727999999999</v>
      </c>
      <c r="V74" s="44">
        <f t="shared" ref="V74" si="91">V73</f>
        <v>360.94464000000005</v>
      </c>
      <c r="W74" s="44">
        <f t="shared" ref="W74" si="92">W73</f>
        <v>399.61727999999999</v>
      </c>
      <c r="X74" s="45">
        <f t="shared" si="80"/>
        <v>4705.1711999999998</v>
      </c>
      <c r="Y74" s="40">
        <f>X74/(14.4*0.9325*365)</f>
        <v>0.95999999999999985</v>
      </c>
    </row>
    <row r="75" spans="10:25" ht="19.5">
      <c r="L75" s="54">
        <f>L72/0.9325</f>
        <v>829.44</v>
      </c>
      <c r="M75" s="54">
        <f t="shared" ref="M75:W75" si="93">M72/0.9325</f>
        <v>857.08799999999997</v>
      </c>
      <c r="N75" s="54">
        <f t="shared" si="93"/>
        <v>552.96</v>
      </c>
      <c r="O75" s="54">
        <f t="shared" si="93"/>
        <v>649.72799999999995</v>
      </c>
      <c r="P75" s="54">
        <f t="shared" si="93"/>
        <v>857.08799999999997</v>
      </c>
      <c r="Q75" s="54">
        <f t="shared" si="93"/>
        <v>829.44</v>
      </c>
      <c r="R75" s="54">
        <f t="shared" si="93"/>
        <v>857.08799999999997</v>
      </c>
      <c r="S75" s="54">
        <f t="shared" si="93"/>
        <v>829.44</v>
      </c>
      <c r="T75" s="54">
        <f t="shared" si="93"/>
        <v>857.08799999999997</v>
      </c>
      <c r="U75" s="54">
        <f t="shared" si="93"/>
        <v>857.08799999999997</v>
      </c>
      <c r="V75" s="54">
        <f t="shared" si="93"/>
        <v>774.14400000000012</v>
      </c>
      <c r="W75" s="54">
        <f t="shared" si="93"/>
        <v>857.08799999999997</v>
      </c>
      <c r="X75" s="45">
        <f t="shared" si="80"/>
        <v>9607.68</v>
      </c>
      <c r="Y75" s="40"/>
    </row>
    <row r="76" spans="10:25" ht="19.5">
      <c r="L76" s="54">
        <f t="shared" ref="L76:W76" si="94">L73/0.9325</f>
        <v>414.72</v>
      </c>
      <c r="M76" s="54">
        <f t="shared" si="94"/>
        <v>428.54399999999998</v>
      </c>
      <c r="N76" s="54">
        <f t="shared" si="94"/>
        <v>138.24</v>
      </c>
      <c r="O76" s="54">
        <f t="shared" si="94"/>
        <v>221.184</v>
      </c>
      <c r="P76" s="54">
        <f t="shared" si="94"/>
        <v>428.54399999999998</v>
      </c>
      <c r="Q76" s="54">
        <f t="shared" si="94"/>
        <v>414.72</v>
      </c>
      <c r="R76" s="54">
        <f t="shared" si="94"/>
        <v>428.54399999999998</v>
      </c>
      <c r="S76" s="54">
        <f t="shared" si="94"/>
        <v>414.72</v>
      </c>
      <c r="T76" s="54">
        <f t="shared" si="94"/>
        <v>428.54399999999998</v>
      </c>
      <c r="U76" s="54">
        <f t="shared" si="94"/>
        <v>428.54399999999998</v>
      </c>
      <c r="V76" s="54">
        <f t="shared" si="94"/>
        <v>387.07200000000006</v>
      </c>
      <c r="W76" s="54">
        <f t="shared" si="94"/>
        <v>428.54399999999998</v>
      </c>
      <c r="X76" s="45">
        <f t="shared" si="80"/>
        <v>4561.92</v>
      </c>
      <c r="Y76" s="40"/>
    </row>
    <row r="77" spans="10:25" ht="19.5">
      <c r="L77" s="54">
        <f t="shared" ref="L77:W77" si="95">L74/0.9325</f>
        <v>414.72</v>
      </c>
      <c r="M77" s="54">
        <f t="shared" si="95"/>
        <v>428.54399999999998</v>
      </c>
      <c r="N77" s="54">
        <f t="shared" si="95"/>
        <v>414.72000000000008</v>
      </c>
      <c r="O77" s="54">
        <f t="shared" si="95"/>
        <v>428.54399999999998</v>
      </c>
      <c r="P77" s="54">
        <f t="shared" si="95"/>
        <v>428.54399999999998</v>
      </c>
      <c r="Q77" s="54">
        <f t="shared" si="95"/>
        <v>414.72</v>
      </c>
      <c r="R77" s="54">
        <f t="shared" si="95"/>
        <v>428.54399999999998</v>
      </c>
      <c r="S77" s="54">
        <f t="shared" si="95"/>
        <v>414.72</v>
      </c>
      <c r="T77" s="54">
        <f t="shared" si="95"/>
        <v>428.54399999999998</v>
      </c>
      <c r="U77" s="54">
        <f t="shared" si="95"/>
        <v>428.54399999999998</v>
      </c>
      <c r="V77" s="54">
        <f t="shared" si="95"/>
        <v>387.07200000000006</v>
      </c>
      <c r="W77" s="54">
        <f t="shared" si="95"/>
        <v>428.54399999999998</v>
      </c>
      <c r="X77" s="45">
        <f t="shared" si="80"/>
        <v>5045.76</v>
      </c>
      <c r="Y77" s="40"/>
    </row>
    <row r="78" spans="10:25" ht="19.5">
      <c r="L78" s="54"/>
      <c r="M78" s="54"/>
      <c r="N78" s="54"/>
      <c r="O78" s="54"/>
      <c r="P78" s="54"/>
      <c r="Q78" s="54"/>
      <c r="R78" s="54"/>
      <c r="S78" s="54"/>
      <c r="T78" s="54"/>
      <c r="U78" s="54"/>
      <c r="V78" s="54"/>
      <c r="W78" s="54"/>
      <c r="X78" s="57">
        <f>(X75-X72)/X75</f>
        <v>6.7500000000000088E-2</v>
      </c>
      <c r="Y78" s="40"/>
    </row>
    <row r="79" spans="10:25" ht="19.5">
      <c r="L79" s="54"/>
      <c r="M79" s="54"/>
      <c r="N79" s="54"/>
      <c r="O79" s="54"/>
      <c r="P79" s="54"/>
      <c r="Q79" s="54"/>
      <c r="R79" s="54"/>
      <c r="S79" s="54"/>
      <c r="T79" s="54"/>
      <c r="U79" s="54"/>
      <c r="V79" s="54"/>
      <c r="W79" s="54"/>
      <c r="X79" s="57">
        <f t="shared" ref="X79:X80" si="96">(X76-X73)/X76</f>
        <v>6.749999999999988E-2</v>
      </c>
      <c r="Y79" s="40"/>
    </row>
    <row r="80" spans="10:25" ht="19.5">
      <c r="L80" s="54"/>
      <c r="M80" s="54"/>
      <c r="N80" s="54"/>
      <c r="O80" s="54"/>
      <c r="P80" s="54"/>
      <c r="Q80" s="54"/>
      <c r="R80" s="54"/>
      <c r="S80" s="54"/>
      <c r="T80" s="54"/>
      <c r="U80" s="54"/>
      <c r="V80" s="54"/>
      <c r="W80" s="54"/>
      <c r="X80" s="57">
        <f t="shared" si="96"/>
        <v>6.7500000000000088E-2</v>
      </c>
      <c r="Y80" s="40"/>
    </row>
    <row r="81" spans="12:25" ht="19.5">
      <c r="L81" s="54"/>
      <c r="M81" s="54"/>
      <c r="N81" s="54"/>
      <c r="O81" s="54"/>
      <c r="P81" s="55"/>
      <c r="Q81" s="55"/>
      <c r="R81" s="55"/>
      <c r="S81" s="55"/>
      <c r="T81" s="55"/>
      <c r="U81" s="55"/>
      <c r="V81" s="55"/>
      <c r="W81" s="55"/>
      <c r="X81" s="56"/>
      <c r="Y81" s="40"/>
    </row>
    <row r="84" spans="12:25">
      <c r="M84" s="83" t="s">
        <v>104</v>
      </c>
      <c r="N84" s="83"/>
      <c r="O84" s="83"/>
      <c r="P84" s="83"/>
      <c r="Q84" s="83"/>
      <c r="R84" s="83"/>
      <c r="S84" s="83"/>
      <c r="T84" s="83"/>
    </row>
    <row r="85" spans="12:25" ht="18.75">
      <c r="M85" s="78" t="s">
        <v>89</v>
      </c>
      <c r="N85" s="78" t="s">
        <v>90</v>
      </c>
      <c r="O85" s="78" t="s">
        <v>91</v>
      </c>
      <c r="P85" s="84" t="s">
        <v>92</v>
      </c>
      <c r="Q85" s="84"/>
      <c r="R85" s="84"/>
      <c r="S85" s="84"/>
      <c r="T85" s="84"/>
    </row>
    <row r="86" spans="12:25">
      <c r="M86" s="78"/>
      <c r="N86" s="78"/>
      <c r="O86" s="78"/>
      <c r="P86" s="47" t="s">
        <v>25</v>
      </c>
      <c r="Q86" s="47" t="s">
        <v>32</v>
      </c>
      <c r="R86" s="47" t="s">
        <v>101</v>
      </c>
      <c r="S86" s="47" t="s">
        <v>102</v>
      </c>
      <c r="T86" s="47" t="s">
        <v>103</v>
      </c>
    </row>
    <row r="87" spans="12:25">
      <c r="M87" s="78"/>
      <c r="N87" s="78"/>
      <c r="O87" s="78"/>
      <c r="P87" s="48" t="s">
        <v>97</v>
      </c>
      <c r="Q87" s="48" t="s">
        <v>97</v>
      </c>
      <c r="R87" s="48" t="s">
        <v>97</v>
      </c>
      <c r="S87" s="48" t="s">
        <v>97</v>
      </c>
      <c r="T87" s="48" t="s">
        <v>97</v>
      </c>
    </row>
    <row r="88" spans="12:25">
      <c r="M88" s="49">
        <v>1</v>
      </c>
      <c r="N88" s="49" t="s">
        <v>98</v>
      </c>
      <c r="O88" s="49">
        <v>600</v>
      </c>
      <c r="P88" s="50">
        <f>X28</f>
        <v>4722.0364799999998</v>
      </c>
      <c r="Q88" s="50">
        <f>X38</f>
        <v>4253.9904000000006</v>
      </c>
      <c r="R88" s="50">
        <f>X49</f>
        <v>4705.1711999999998</v>
      </c>
      <c r="S88" s="50">
        <f>X61</f>
        <v>4266.8812800000005</v>
      </c>
      <c r="T88" s="50">
        <f>X74</f>
        <v>4705.1711999999998</v>
      </c>
    </row>
    <row r="89" spans="12:25">
      <c r="M89" s="49">
        <v>2</v>
      </c>
      <c r="N89" s="49" t="s">
        <v>99</v>
      </c>
      <c r="O89" s="49">
        <v>600</v>
      </c>
      <c r="P89" s="50">
        <f>X27</f>
        <v>4005.4348799999998</v>
      </c>
      <c r="Q89" s="50">
        <f>X37</f>
        <v>4705.1711999999998</v>
      </c>
      <c r="R89" s="50">
        <f>X48</f>
        <v>4253.9904000000006</v>
      </c>
      <c r="S89" s="50">
        <f>X60</f>
        <v>4718.0620799999997</v>
      </c>
      <c r="T89" s="50">
        <f>X73</f>
        <v>4253.9904000000006</v>
      </c>
    </row>
    <row r="90" spans="12:25">
      <c r="M90" s="29">
        <v>3</v>
      </c>
      <c r="N90" s="29" t="s">
        <v>100</v>
      </c>
      <c r="O90" s="29">
        <v>1200</v>
      </c>
      <c r="P90" s="32">
        <f>P88+P89</f>
        <v>8727.4713599999995</v>
      </c>
      <c r="Q90" s="32">
        <f t="shared" ref="Q90:T90" si="97">Q88+Q89</f>
        <v>8959.1615999999995</v>
      </c>
      <c r="R90" s="32">
        <f t="shared" si="97"/>
        <v>8959.1615999999995</v>
      </c>
      <c r="S90" s="32">
        <f t="shared" si="97"/>
        <v>8984.9433600000011</v>
      </c>
      <c r="T90" s="32">
        <f t="shared" si="97"/>
        <v>8959.1615999999995</v>
      </c>
    </row>
    <row r="93" spans="12:25">
      <c r="M93" s="83" t="s">
        <v>105</v>
      </c>
      <c r="N93" s="83"/>
      <c r="O93" s="83"/>
      <c r="P93" s="83"/>
      <c r="Q93" s="83"/>
      <c r="R93" s="83"/>
      <c r="S93" s="83"/>
      <c r="T93" s="83"/>
    </row>
    <row r="94" spans="12:25" ht="18.75">
      <c r="M94" s="78" t="s">
        <v>89</v>
      </c>
      <c r="N94" s="78" t="s">
        <v>90</v>
      </c>
      <c r="O94" s="78" t="s">
        <v>91</v>
      </c>
      <c r="P94" s="84" t="s">
        <v>92</v>
      </c>
      <c r="Q94" s="84"/>
      <c r="R94" s="84"/>
      <c r="S94" s="84"/>
      <c r="T94" s="84"/>
    </row>
    <row r="95" spans="12:25">
      <c r="M95" s="78"/>
      <c r="N95" s="78"/>
      <c r="O95" s="78"/>
      <c r="P95" s="47" t="s">
        <v>25</v>
      </c>
      <c r="Q95" s="47" t="s">
        <v>32</v>
      </c>
      <c r="R95" s="47" t="s">
        <v>101</v>
      </c>
      <c r="S95" s="47" t="s">
        <v>102</v>
      </c>
      <c r="T95" s="47" t="s">
        <v>103</v>
      </c>
    </row>
    <row r="96" spans="12:25">
      <c r="M96" s="78"/>
      <c r="N96" s="78"/>
      <c r="O96" s="78"/>
      <c r="P96" s="48" t="s">
        <v>97</v>
      </c>
      <c r="Q96" s="48" t="s">
        <v>97</v>
      </c>
      <c r="R96" s="48" t="s">
        <v>97</v>
      </c>
      <c r="S96" s="48" t="s">
        <v>97</v>
      </c>
      <c r="T96" s="48" t="s">
        <v>97</v>
      </c>
    </row>
    <row r="97" spans="13:20">
      <c r="M97" s="49">
        <v>1</v>
      </c>
      <c r="N97" s="49" t="s">
        <v>98</v>
      </c>
      <c r="O97" s="49">
        <v>600</v>
      </c>
      <c r="P97" s="51">
        <f>Y28</f>
        <v>0.95999999999999985</v>
      </c>
      <c r="Q97" s="51">
        <f>Y38</f>
        <v>0.86794520547945209</v>
      </c>
      <c r="R97" s="51">
        <f>Y49</f>
        <v>0.95999999999999985</v>
      </c>
      <c r="S97" s="51">
        <f>Y61</f>
        <v>0.86819672131147552</v>
      </c>
      <c r="T97" s="51">
        <f>Y74</f>
        <v>0.95999999999999985</v>
      </c>
    </row>
    <row r="98" spans="13:20">
      <c r="M98" s="49">
        <v>2</v>
      </c>
      <c r="N98" s="49" t="s">
        <v>99</v>
      </c>
      <c r="O98" s="49">
        <v>600</v>
      </c>
      <c r="P98" s="51">
        <f>Y27</f>
        <v>0.81431337963742279</v>
      </c>
      <c r="Q98" s="51">
        <f>Y37</f>
        <v>0.95999999999999985</v>
      </c>
      <c r="R98" s="51">
        <f>Y48</f>
        <v>0.86794520547945209</v>
      </c>
      <c r="S98" s="51">
        <f>Y60</f>
        <v>0.96</v>
      </c>
      <c r="T98" s="51">
        <f>Y73</f>
        <v>0.86794520547945209</v>
      </c>
    </row>
    <row r="99" spans="13:20">
      <c r="M99" s="29">
        <v>3</v>
      </c>
      <c r="N99" s="29" t="s">
        <v>100</v>
      </c>
      <c r="O99" s="29">
        <v>1200</v>
      </c>
      <c r="P99" s="52">
        <f>Y26</f>
        <v>0.88715668981871132</v>
      </c>
      <c r="Q99" s="52">
        <f>Y36</f>
        <v>0.91397260273972591</v>
      </c>
      <c r="R99" s="52">
        <f>Y47</f>
        <v>0.91397260273972591</v>
      </c>
      <c r="S99" s="52">
        <f>Y59</f>
        <v>0.91409836065573757</v>
      </c>
      <c r="T99" s="52">
        <f>Y72</f>
        <v>0.91397260273972591</v>
      </c>
    </row>
    <row r="102" spans="13:20">
      <c r="M102" s="83" t="s">
        <v>108</v>
      </c>
      <c r="N102" s="83"/>
      <c r="O102" s="83"/>
      <c r="P102" s="83"/>
      <c r="Q102" s="83"/>
      <c r="R102" s="83"/>
      <c r="S102" s="83"/>
      <c r="T102" s="83"/>
    </row>
    <row r="103" spans="13:20" ht="18.75">
      <c r="M103" s="78" t="s">
        <v>89</v>
      </c>
      <c r="N103" s="78" t="s">
        <v>90</v>
      </c>
      <c r="O103" s="78" t="s">
        <v>91</v>
      </c>
      <c r="P103" s="84" t="s">
        <v>92</v>
      </c>
      <c r="Q103" s="84"/>
      <c r="R103" s="84"/>
      <c r="S103" s="84"/>
      <c r="T103" s="84"/>
    </row>
    <row r="104" spans="13:20">
      <c r="M104" s="78"/>
      <c r="N104" s="78"/>
      <c r="O104" s="78"/>
      <c r="P104" s="47" t="s">
        <v>25</v>
      </c>
      <c r="Q104" s="47" t="s">
        <v>32</v>
      </c>
      <c r="R104" s="47" t="s">
        <v>101</v>
      </c>
      <c r="S104" s="47" t="s">
        <v>102</v>
      </c>
      <c r="T104" s="47" t="s">
        <v>103</v>
      </c>
    </row>
    <row r="105" spans="13:20">
      <c r="M105" s="78"/>
      <c r="N105" s="78"/>
      <c r="O105" s="78"/>
      <c r="P105" s="48" t="s">
        <v>97</v>
      </c>
      <c r="Q105" s="48" t="s">
        <v>97</v>
      </c>
      <c r="R105" s="48" t="s">
        <v>97</v>
      </c>
      <c r="S105" s="48" t="s">
        <v>97</v>
      </c>
      <c r="T105" s="48" t="s">
        <v>97</v>
      </c>
    </row>
    <row r="106" spans="13:20">
      <c r="M106" s="49">
        <v>1</v>
      </c>
      <c r="N106" s="49" t="s">
        <v>98</v>
      </c>
      <c r="O106" s="49">
        <v>600</v>
      </c>
      <c r="P106" s="51">
        <f>X34</f>
        <v>6.4157534246575262E-2</v>
      </c>
      <c r="Q106" s="51">
        <v>6.7500000000000004E-2</v>
      </c>
      <c r="R106" s="51">
        <v>6.7500000000000004E-2</v>
      </c>
      <c r="S106" s="51">
        <v>6.7500000000000004E-2</v>
      </c>
      <c r="T106" s="51">
        <v>6.7500000000000004E-2</v>
      </c>
    </row>
    <row r="107" spans="13:20">
      <c r="M107" s="49">
        <v>2</v>
      </c>
      <c r="N107" s="49" t="s">
        <v>99</v>
      </c>
      <c r="O107" s="49">
        <v>600</v>
      </c>
      <c r="P107" s="51">
        <f>X33</f>
        <v>6.533870967741931E-2</v>
      </c>
      <c r="Q107" s="51">
        <v>6.7500000000000004E-2</v>
      </c>
      <c r="R107" s="51">
        <v>6.7500000000000004E-2</v>
      </c>
      <c r="S107" s="51">
        <v>6.7500000000000004E-2</v>
      </c>
      <c r="T107" s="51">
        <v>6.7500000000000004E-2</v>
      </c>
    </row>
    <row r="108" spans="13:20">
      <c r="M108" s="29">
        <v>3</v>
      </c>
      <c r="N108" s="29" t="s">
        <v>100</v>
      </c>
      <c r="O108" s="29">
        <v>1200</v>
      </c>
      <c r="P108" s="52">
        <f>X32</f>
        <v>6.4699999999999938E-2</v>
      </c>
      <c r="Q108" s="52">
        <v>6.7500000000000004E-2</v>
      </c>
      <c r="R108" s="52">
        <v>6.7500000000000004E-2</v>
      </c>
      <c r="S108" s="52">
        <v>6.7500000000000004E-2</v>
      </c>
      <c r="T108" s="52">
        <v>6.7500000000000004E-2</v>
      </c>
    </row>
    <row r="111" spans="13:20">
      <c r="M111" s="83" t="s">
        <v>106</v>
      </c>
      <c r="N111" s="83"/>
      <c r="O111" s="83"/>
      <c r="P111" s="83"/>
      <c r="Q111" s="83"/>
      <c r="R111" s="83"/>
      <c r="S111" s="83"/>
      <c r="T111" s="83"/>
    </row>
    <row r="112" spans="13:20" ht="18.75">
      <c r="M112" s="78" t="s">
        <v>89</v>
      </c>
      <c r="N112" s="78" t="s">
        <v>90</v>
      </c>
      <c r="O112" s="78" t="s">
        <v>91</v>
      </c>
      <c r="P112" s="84" t="s">
        <v>92</v>
      </c>
      <c r="Q112" s="84"/>
      <c r="R112" s="84"/>
      <c r="S112" s="84"/>
      <c r="T112" s="84"/>
    </row>
    <row r="113" spans="13:20">
      <c r="M113" s="78"/>
      <c r="N113" s="78"/>
      <c r="O113" s="78"/>
      <c r="P113" s="47" t="s">
        <v>25</v>
      </c>
      <c r="Q113" s="47" t="s">
        <v>32</v>
      </c>
      <c r="R113" s="47" t="s">
        <v>101</v>
      </c>
      <c r="S113" s="47" t="s">
        <v>102</v>
      </c>
      <c r="T113" s="47" t="s">
        <v>103</v>
      </c>
    </row>
    <row r="114" spans="13:20">
      <c r="M114" s="78"/>
      <c r="N114" s="78"/>
      <c r="O114" s="78"/>
      <c r="P114" s="48" t="s">
        <v>97</v>
      </c>
      <c r="Q114" s="48" t="s">
        <v>97</v>
      </c>
      <c r="R114" s="48" t="s">
        <v>97</v>
      </c>
      <c r="S114" s="48" t="s">
        <v>97</v>
      </c>
      <c r="T114" s="48" t="s">
        <v>97</v>
      </c>
    </row>
    <row r="115" spans="13:20">
      <c r="M115" s="49">
        <v>1</v>
      </c>
      <c r="N115" s="49" t="s">
        <v>98</v>
      </c>
      <c r="O115" s="49">
        <v>600</v>
      </c>
      <c r="P115" s="50">
        <f>X31</f>
        <v>5045.7599999999993</v>
      </c>
      <c r="Q115" s="50">
        <f>X41</f>
        <v>4561.92</v>
      </c>
      <c r="R115" s="50">
        <f>X52</f>
        <v>5045.76</v>
      </c>
      <c r="S115" s="50">
        <f>X64</f>
        <v>4575.7439999999997</v>
      </c>
      <c r="T115" s="50">
        <f>X77</f>
        <v>5045.76</v>
      </c>
    </row>
    <row r="116" spans="13:20">
      <c r="M116" s="49">
        <v>2</v>
      </c>
      <c r="N116" s="49" t="s">
        <v>99</v>
      </c>
      <c r="O116" s="49">
        <v>600</v>
      </c>
      <c r="P116" s="50">
        <f>X30</f>
        <v>4285.4399999999996</v>
      </c>
      <c r="Q116" s="50">
        <f>X40</f>
        <v>5045.76</v>
      </c>
      <c r="R116" s="50">
        <f>X51</f>
        <v>4561.92</v>
      </c>
      <c r="S116" s="50">
        <f>X63</f>
        <v>5059.5839999999998</v>
      </c>
      <c r="T116" s="50">
        <f>X76</f>
        <v>4561.92</v>
      </c>
    </row>
    <row r="117" spans="13:20">
      <c r="M117" s="29">
        <v>3</v>
      </c>
      <c r="N117" s="29" t="s">
        <v>100</v>
      </c>
      <c r="O117" s="29">
        <v>1200</v>
      </c>
      <c r="P117" s="32">
        <f>P115+P116</f>
        <v>9331.1999999999989</v>
      </c>
      <c r="Q117" s="32">
        <f t="shared" ref="Q117" si="98">Q115+Q116</f>
        <v>9607.68</v>
      </c>
      <c r="R117" s="32">
        <f t="shared" ref="R117" si="99">R115+R116</f>
        <v>9607.68</v>
      </c>
      <c r="S117" s="32">
        <f t="shared" ref="S117" si="100">S115+S116</f>
        <v>9635.3279999999995</v>
      </c>
      <c r="T117" s="32">
        <f t="shared" ref="T117" si="101">T115+T116</f>
        <v>9607.68</v>
      </c>
    </row>
    <row r="120" spans="13:20">
      <c r="M120" s="83" t="s">
        <v>107</v>
      </c>
      <c r="N120" s="83"/>
      <c r="O120" s="83"/>
      <c r="P120" s="83"/>
      <c r="Q120" s="83"/>
      <c r="R120" s="83"/>
      <c r="S120" s="83"/>
      <c r="T120" s="83"/>
    </row>
    <row r="121" spans="13:20" ht="18.75">
      <c r="M121" s="78" t="s">
        <v>89</v>
      </c>
      <c r="N121" s="78" t="s">
        <v>90</v>
      </c>
      <c r="O121" s="78" t="s">
        <v>91</v>
      </c>
      <c r="P121" s="84" t="s">
        <v>92</v>
      </c>
      <c r="Q121" s="84"/>
      <c r="R121" s="84"/>
      <c r="S121" s="84"/>
      <c r="T121" s="84"/>
    </row>
    <row r="122" spans="13:20">
      <c r="M122" s="78"/>
      <c r="N122" s="78"/>
      <c r="O122" s="78"/>
      <c r="P122" s="47" t="s">
        <v>25</v>
      </c>
      <c r="Q122" s="47" t="s">
        <v>32</v>
      </c>
      <c r="R122" s="47" t="s">
        <v>101</v>
      </c>
      <c r="S122" s="47" t="s">
        <v>102</v>
      </c>
      <c r="T122" s="47" t="s">
        <v>103</v>
      </c>
    </row>
    <row r="123" spans="13:20">
      <c r="M123" s="78"/>
      <c r="N123" s="78"/>
      <c r="O123" s="78"/>
      <c r="P123" s="48" t="s">
        <v>97</v>
      </c>
      <c r="Q123" s="48" t="s">
        <v>97</v>
      </c>
      <c r="R123" s="48" t="s">
        <v>97</v>
      </c>
      <c r="S123" s="48" t="s">
        <v>97</v>
      </c>
      <c r="T123" s="48" t="s">
        <v>97</v>
      </c>
    </row>
    <row r="124" spans="13:20">
      <c r="M124" s="49">
        <v>1</v>
      </c>
      <c r="N124" s="49" t="s">
        <v>98</v>
      </c>
      <c r="O124" s="49">
        <v>600</v>
      </c>
      <c r="P124" s="50">
        <f>P115-P88</f>
        <v>323.72351999999955</v>
      </c>
      <c r="Q124" s="50">
        <f t="shared" ref="Q124:T124" si="102">Q115-Q88</f>
        <v>307.92959999999948</v>
      </c>
      <c r="R124" s="50">
        <f t="shared" si="102"/>
        <v>340.58880000000045</v>
      </c>
      <c r="S124" s="50">
        <f t="shared" si="102"/>
        <v>308.86271999999917</v>
      </c>
      <c r="T124" s="50">
        <f t="shared" si="102"/>
        <v>340.58880000000045</v>
      </c>
    </row>
    <row r="125" spans="13:20">
      <c r="M125" s="49">
        <v>2</v>
      </c>
      <c r="N125" s="49" t="s">
        <v>99</v>
      </c>
      <c r="O125" s="49">
        <v>600</v>
      </c>
      <c r="P125" s="50">
        <f t="shared" ref="P125:T126" si="103">P116-P89</f>
        <v>280.00511999999981</v>
      </c>
      <c r="Q125" s="50">
        <f t="shared" si="103"/>
        <v>340.58880000000045</v>
      </c>
      <c r="R125" s="50">
        <f t="shared" si="103"/>
        <v>307.92959999999948</v>
      </c>
      <c r="S125" s="50">
        <f t="shared" si="103"/>
        <v>341.52192000000014</v>
      </c>
      <c r="T125" s="50">
        <f t="shared" si="103"/>
        <v>307.92959999999948</v>
      </c>
    </row>
    <row r="126" spans="13:20">
      <c r="M126" s="29">
        <v>3</v>
      </c>
      <c r="N126" s="29" t="s">
        <v>100</v>
      </c>
      <c r="O126" s="29">
        <v>1200</v>
      </c>
      <c r="P126" s="58">
        <f t="shared" si="103"/>
        <v>603.72863999999936</v>
      </c>
      <c r="Q126" s="58">
        <f t="shared" si="103"/>
        <v>648.51840000000084</v>
      </c>
      <c r="R126" s="58">
        <f t="shared" si="103"/>
        <v>648.51840000000084</v>
      </c>
      <c r="S126" s="58">
        <f t="shared" si="103"/>
        <v>650.3846399999984</v>
      </c>
      <c r="T126" s="58">
        <f t="shared" si="103"/>
        <v>648.51840000000084</v>
      </c>
    </row>
    <row r="130" spans="13:20">
      <c r="M130" s="82" t="s">
        <v>112</v>
      </c>
      <c r="N130" s="82"/>
      <c r="O130" s="82"/>
      <c r="P130" s="82"/>
      <c r="Q130" s="82"/>
      <c r="R130" s="82"/>
      <c r="S130" s="66"/>
      <c r="T130" s="66"/>
    </row>
    <row r="131" spans="13:20" ht="32.25" customHeight="1">
      <c r="M131" s="78" t="s">
        <v>90</v>
      </c>
      <c r="N131" s="78" t="s">
        <v>91</v>
      </c>
      <c r="O131" s="79" t="s">
        <v>115</v>
      </c>
      <c r="P131" s="80"/>
      <c r="Q131" s="80"/>
      <c r="R131" s="81"/>
      <c r="S131" s="67"/>
      <c r="T131" s="68"/>
    </row>
    <row r="132" spans="13:20">
      <c r="M132" s="78"/>
      <c r="N132" s="78"/>
      <c r="O132" s="47" t="s">
        <v>93</v>
      </c>
      <c r="P132" s="47" t="s">
        <v>94</v>
      </c>
      <c r="Q132" s="47" t="s">
        <v>95</v>
      </c>
      <c r="R132" s="47" t="s">
        <v>96</v>
      </c>
      <c r="S132" s="68"/>
      <c r="T132" s="68"/>
    </row>
    <row r="133" spans="13:20">
      <c r="M133" s="78"/>
      <c r="N133" s="78"/>
      <c r="O133" s="48" t="s">
        <v>97</v>
      </c>
      <c r="P133" s="48" t="s">
        <v>97</v>
      </c>
      <c r="Q133" s="48" t="s">
        <v>97</v>
      </c>
      <c r="R133" s="48" t="s">
        <v>97</v>
      </c>
      <c r="S133" s="68"/>
      <c r="T133" s="68"/>
    </row>
    <row r="134" spans="13:20">
      <c r="M134" s="49" t="s">
        <v>113</v>
      </c>
      <c r="N134" s="49" t="s">
        <v>114</v>
      </c>
      <c r="O134" s="51">
        <v>6.0100000000000001E-2</v>
      </c>
      <c r="P134" s="51">
        <v>6.1199999999999997E-2</v>
      </c>
      <c r="Q134" s="51">
        <v>5.8299999999999998E-2</v>
      </c>
      <c r="R134" s="51">
        <v>6.0519999999999997E-2</v>
      </c>
      <c r="S134" s="68"/>
      <c r="T134" s="68"/>
    </row>
    <row r="139" spans="13:20" ht="18.75">
      <c r="M139" s="85" t="s">
        <v>110</v>
      </c>
      <c r="N139" s="85"/>
      <c r="O139" s="85"/>
      <c r="P139" s="85"/>
      <c r="Q139" s="85"/>
      <c r="R139" s="85"/>
    </row>
    <row r="140" spans="13:20" ht="18.75">
      <c r="M140" s="86" t="s">
        <v>109</v>
      </c>
      <c r="N140" s="86" t="s">
        <v>92</v>
      </c>
      <c r="O140" s="86"/>
      <c r="P140" s="86"/>
      <c r="Q140" s="86"/>
      <c r="R140" s="86"/>
    </row>
    <row r="141" spans="13:20">
      <c r="M141" s="86"/>
      <c r="N141" s="47" t="s">
        <v>25</v>
      </c>
      <c r="O141" s="47" t="s">
        <v>32</v>
      </c>
      <c r="P141" s="47" t="s">
        <v>101</v>
      </c>
      <c r="Q141" s="47" t="s">
        <v>102</v>
      </c>
      <c r="R141" s="47" t="s">
        <v>103</v>
      </c>
    </row>
    <row r="142" spans="13:20">
      <c r="M142" s="86"/>
      <c r="N142" s="49" t="s">
        <v>97</v>
      </c>
      <c r="O142" s="49" t="s">
        <v>97</v>
      </c>
      <c r="P142" s="49" t="s">
        <v>97</v>
      </c>
      <c r="Q142" s="49" t="s">
        <v>97</v>
      </c>
      <c r="R142" s="49" t="s">
        <v>97</v>
      </c>
    </row>
    <row r="143" spans="13:20" ht="15.75">
      <c r="M143" s="60" t="s">
        <v>74</v>
      </c>
      <c r="N143" s="62">
        <v>829.44</v>
      </c>
      <c r="O143" s="62">
        <v>829.44</v>
      </c>
      <c r="P143" s="62">
        <v>829.44</v>
      </c>
      <c r="Q143" s="62">
        <v>829.44</v>
      </c>
      <c r="R143" s="62">
        <v>829.44</v>
      </c>
    </row>
    <row r="144" spans="13:20" ht="15.75">
      <c r="M144" s="60" t="s">
        <v>75</v>
      </c>
      <c r="N144" s="62">
        <v>857.08799999999997</v>
      </c>
      <c r="O144" s="62">
        <v>857.08799999999997</v>
      </c>
      <c r="P144" s="62">
        <v>857.08799999999997</v>
      </c>
      <c r="Q144" s="62">
        <v>857.08799999999997</v>
      </c>
      <c r="R144" s="62">
        <v>857.08799999999997</v>
      </c>
    </row>
    <row r="145" spans="13:18" ht="15.75">
      <c r="M145" s="60" t="s">
        <v>76</v>
      </c>
      <c r="N145" s="62">
        <v>414.72</v>
      </c>
      <c r="O145" s="62">
        <v>552.96</v>
      </c>
      <c r="P145" s="62">
        <v>552.96</v>
      </c>
      <c r="Q145" s="62">
        <v>552.96</v>
      </c>
      <c r="R145" s="62">
        <v>552.96</v>
      </c>
    </row>
    <row r="146" spans="13:18" ht="15.75">
      <c r="M146" s="60" t="s">
        <v>77</v>
      </c>
      <c r="N146" s="62">
        <v>511.48799999999994</v>
      </c>
      <c r="O146" s="62">
        <v>649.72799999999995</v>
      </c>
      <c r="P146" s="62">
        <v>649.72799999999995</v>
      </c>
      <c r="Q146" s="62">
        <v>649.72799999999995</v>
      </c>
      <c r="R146" s="62">
        <v>649.72799999999995</v>
      </c>
    </row>
    <row r="147" spans="13:18" ht="15.75">
      <c r="M147" s="60" t="s">
        <v>78</v>
      </c>
      <c r="N147" s="62">
        <v>857.08799999999997</v>
      </c>
      <c r="O147" s="62">
        <v>857.08799999999997</v>
      </c>
      <c r="P147" s="62">
        <v>857.08799999999997</v>
      </c>
      <c r="Q147" s="62">
        <v>857.08799999999997</v>
      </c>
      <c r="R147" s="62">
        <v>857.08799999999997</v>
      </c>
    </row>
    <row r="148" spans="13:18" ht="15.75">
      <c r="M148" s="60" t="s">
        <v>79</v>
      </c>
      <c r="N148" s="62">
        <v>829.44</v>
      </c>
      <c r="O148" s="62">
        <v>829.44</v>
      </c>
      <c r="P148" s="62">
        <v>829.44</v>
      </c>
      <c r="Q148" s="62">
        <v>829.44</v>
      </c>
      <c r="R148" s="62">
        <v>829.44</v>
      </c>
    </row>
    <row r="149" spans="13:18" ht="15.75">
      <c r="M149" s="60" t="s">
        <v>80</v>
      </c>
      <c r="N149" s="62">
        <v>857.08799999999997</v>
      </c>
      <c r="O149" s="62">
        <v>857.08799999999997</v>
      </c>
      <c r="P149" s="62">
        <v>857.08799999999997</v>
      </c>
      <c r="Q149" s="62">
        <v>857.08799999999997</v>
      </c>
      <c r="R149" s="62">
        <v>857.08799999999997</v>
      </c>
    </row>
    <row r="150" spans="13:18" ht="15.75">
      <c r="M150" s="60" t="s">
        <v>81</v>
      </c>
      <c r="N150" s="62">
        <v>829.44</v>
      </c>
      <c r="O150" s="62">
        <v>829.44</v>
      </c>
      <c r="P150" s="62">
        <v>829.44</v>
      </c>
      <c r="Q150" s="62">
        <v>829.44</v>
      </c>
      <c r="R150" s="62">
        <v>829.44</v>
      </c>
    </row>
    <row r="151" spans="13:18" ht="15.75">
      <c r="M151" s="60" t="s">
        <v>82</v>
      </c>
      <c r="N151" s="62">
        <v>857.08799999999997</v>
      </c>
      <c r="O151" s="62">
        <v>857.08799999999997</v>
      </c>
      <c r="P151" s="62">
        <v>857.08799999999997</v>
      </c>
      <c r="Q151" s="62">
        <v>857.08799999999997</v>
      </c>
      <c r="R151" s="62">
        <v>857.08799999999997</v>
      </c>
    </row>
    <row r="152" spans="13:18" ht="15.75">
      <c r="M152" s="60" t="s">
        <v>83</v>
      </c>
      <c r="N152" s="62">
        <v>857.08799999999997</v>
      </c>
      <c r="O152" s="62">
        <v>857.08799999999997</v>
      </c>
      <c r="P152" s="62">
        <v>857.08799999999997</v>
      </c>
      <c r="Q152" s="62">
        <v>857.08799999999997</v>
      </c>
      <c r="R152" s="62">
        <v>857.08799999999997</v>
      </c>
    </row>
    <row r="153" spans="13:18" ht="15.75">
      <c r="M153" s="60" t="s">
        <v>84</v>
      </c>
      <c r="N153" s="62">
        <v>774.14400000000012</v>
      </c>
      <c r="O153" s="62">
        <v>774.14400000000012</v>
      </c>
      <c r="P153" s="62">
        <v>774.14400000000012</v>
      </c>
      <c r="Q153" s="62">
        <v>801.79200000000003</v>
      </c>
      <c r="R153" s="62">
        <v>774.14400000000012</v>
      </c>
    </row>
    <row r="154" spans="13:18" ht="15.75">
      <c r="M154" s="60" t="s">
        <v>85</v>
      </c>
      <c r="N154" s="62">
        <v>857.08799999999997</v>
      </c>
      <c r="O154" s="62">
        <v>857.08799999999997</v>
      </c>
      <c r="P154" s="62">
        <v>857.08799999999997</v>
      </c>
      <c r="Q154" s="62">
        <v>857.08799999999997</v>
      </c>
      <c r="R154" s="62">
        <v>857.08799999999997</v>
      </c>
    </row>
    <row r="155" spans="13:18" ht="16.5" thickBot="1">
      <c r="M155" s="59" t="s">
        <v>5</v>
      </c>
      <c r="N155" s="61">
        <f>SUM(N143:N154)</f>
        <v>9331.1999999999989</v>
      </c>
      <c r="O155" s="61">
        <f t="shared" ref="O155:R155" si="104">SUM(O143:O154)</f>
        <v>9607.68</v>
      </c>
      <c r="P155" s="61">
        <f t="shared" si="104"/>
        <v>9607.68</v>
      </c>
      <c r="Q155" s="61">
        <f t="shared" si="104"/>
        <v>9635.3279999999995</v>
      </c>
      <c r="R155" s="61">
        <f t="shared" si="104"/>
        <v>9607.68</v>
      </c>
    </row>
    <row r="159" spans="13:18" ht="18.75">
      <c r="M159" s="85" t="s">
        <v>111</v>
      </c>
      <c r="N159" s="85"/>
      <c r="O159" s="85"/>
      <c r="P159" s="85"/>
      <c r="Q159" s="85"/>
      <c r="R159" s="85"/>
    </row>
    <row r="160" spans="13:18" ht="18.75">
      <c r="M160" s="86" t="s">
        <v>109</v>
      </c>
      <c r="N160" s="86" t="s">
        <v>92</v>
      </c>
      <c r="O160" s="86"/>
      <c r="P160" s="86"/>
      <c r="Q160" s="86"/>
      <c r="R160" s="86"/>
    </row>
    <row r="161" spans="13:18">
      <c r="M161" s="86"/>
      <c r="N161" s="47" t="s">
        <v>25</v>
      </c>
      <c r="O161" s="47" t="s">
        <v>32</v>
      </c>
      <c r="P161" s="47" t="s">
        <v>101</v>
      </c>
      <c r="Q161" s="47" t="s">
        <v>102</v>
      </c>
      <c r="R161" s="47" t="s">
        <v>103</v>
      </c>
    </row>
    <row r="162" spans="13:18">
      <c r="M162" s="86"/>
      <c r="N162" s="49" t="s">
        <v>97</v>
      </c>
      <c r="O162" s="49" t="s">
        <v>97</v>
      </c>
      <c r="P162" s="49" t="s">
        <v>97</v>
      </c>
      <c r="Q162" s="49" t="s">
        <v>97</v>
      </c>
      <c r="R162" s="49" t="s">
        <v>97</v>
      </c>
    </row>
    <row r="163" spans="13:18" ht="15.75">
      <c r="M163" s="60" t="s">
        <v>74</v>
      </c>
      <c r="N163" s="62">
        <v>781.74720000000002</v>
      </c>
      <c r="O163" s="62">
        <v>773.45280000000002</v>
      </c>
      <c r="P163" s="62">
        <v>773.45280000000002</v>
      </c>
      <c r="Q163" s="62">
        <v>773.45280000000002</v>
      </c>
      <c r="R163" s="62">
        <v>773.45280000000002</v>
      </c>
    </row>
    <row r="164" spans="13:18" ht="15.75">
      <c r="M164" s="60" t="s">
        <v>75</v>
      </c>
      <c r="N164" s="62">
        <v>807.80543999999998</v>
      </c>
      <c r="O164" s="62">
        <v>799.23455999999999</v>
      </c>
      <c r="P164" s="62">
        <v>799.23455999999999</v>
      </c>
      <c r="Q164" s="62">
        <v>799.23455999999999</v>
      </c>
      <c r="R164" s="62">
        <v>799.23455999999999</v>
      </c>
    </row>
    <row r="165" spans="13:18" ht="15.75">
      <c r="M165" s="60" t="s">
        <v>76</v>
      </c>
      <c r="N165" s="62">
        <v>390.87360000000001</v>
      </c>
      <c r="O165" s="62">
        <v>515.63520000000005</v>
      </c>
      <c r="P165" s="62">
        <v>515.63520000000005</v>
      </c>
      <c r="Q165" s="62">
        <v>515.63520000000005</v>
      </c>
      <c r="R165" s="62">
        <v>515.63520000000005</v>
      </c>
    </row>
    <row r="166" spans="13:18" ht="15.75">
      <c r="M166" s="60" t="s">
        <v>77</v>
      </c>
      <c r="N166" s="62">
        <v>482.07743999999997</v>
      </c>
      <c r="O166" s="62">
        <v>605.87135999999998</v>
      </c>
      <c r="P166" s="62">
        <v>605.87135999999998</v>
      </c>
      <c r="Q166" s="62">
        <v>605.87135999999998</v>
      </c>
      <c r="R166" s="62">
        <v>605.87135999999998</v>
      </c>
    </row>
    <row r="167" spans="13:18" ht="15.75">
      <c r="M167" s="60" t="s">
        <v>78</v>
      </c>
      <c r="N167" s="62">
        <v>799.23455999999999</v>
      </c>
      <c r="O167" s="62">
        <v>799.23455999999999</v>
      </c>
      <c r="P167" s="62">
        <v>799.23455999999999</v>
      </c>
      <c r="Q167" s="62">
        <v>799.23455999999999</v>
      </c>
      <c r="R167" s="62">
        <v>799.23455999999999</v>
      </c>
    </row>
    <row r="168" spans="13:18" ht="15.75">
      <c r="M168" s="60" t="s">
        <v>79</v>
      </c>
      <c r="N168" s="62">
        <v>773.45280000000002</v>
      </c>
      <c r="O168" s="62">
        <v>773.45280000000002</v>
      </c>
      <c r="P168" s="62">
        <v>773.45280000000002</v>
      </c>
      <c r="Q168" s="62">
        <v>773.45280000000002</v>
      </c>
      <c r="R168" s="62">
        <v>773.45280000000002</v>
      </c>
    </row>
    <row r="169" spans="13:18" ht="15.75">
      <c r="M169" s="60" t="s">
        <v>80</v>
      </c>
      <c r="N169" s="62">
        <v>799.23455999999999</v>
      </c>
      <c r="O169" s="62">
        <v>799.23455999999999</v>
      </c>
      <c r="P169" s="62">
        <v>799.23455999999999</v>
      </c>
      <c r="Q169" s="62">
        <v>799.23455999999999</v>
      </c>
      <c r="R169" s="62">
        <v>799.23455999999999</v>
      </c>
    </row>
    <row r="170" spans="13:18" ht="15.75">
      <c r="M170" s="60" t="s">
        <v>81</v>
      </c>
      <c r="N170" s="62">
        <v>773.45280000000002</v>
      </c>
      <c r="O170" s="62">
        <v>773.45280000000002</v>
      </c>
      <c r="P170" s="62">
        <v>773.45280000000002</v>
      </c>
      <c r="Q170" s="62">
        <v>773.45280000000002</v>
      </c>
      <c r="R170" s="62">
        <v>773.45280000000002</v>
      </c>
    </row>
    <row r="171" spans="13:18" ht="15.75">
      <c r="M171" s="60" t="s">
        <v>82</v>
      </c>
      <c r="N171" s="62">
        <v>799.23455999999999</v>
      </c>
      <c r="O171" s="62">
        <v>799.23455999999999</v>
      </c>
      <c r="P171" s="62">
        <v>799.23455999999999</v>
      </c>
      <c r="Q171" s="62">
        <v>799.23455999999999</v>
      </c>
      <c r="R171" s="62">
        <v>799.23455999999999</v>
      </c>
    </row>
    <row r="172" spans="13:18" ht="15.75">
      <c r="M172" s="60" t="s">
        <v>83</v>
      </c>
      <c r="N172" s="62">
        <v>799.23455999999999</v>
      </c>
      <c r="O172" s="62">
        <v>799.23455999999999</v>
      </c>
      <c r="P172" s="62">
        <v>799.23455999999999</v>
      </c>
      <c r="Q172" s="62">
        <v>799.23455999999999</v>
      </c>
      <c r="R172" s="62">
        <v>799.23455999999999</v>
      </c>
    </row>
    <row r="173" spans="13:18" ht="15.75">
      <c r="M173" s="60" t="s">
        <v>84</v>
      </c>
      <c r="N173" s="62">
        <v>721.8892800000001</v>
      </c>
      <c r="O173" s="62">
        <v>721.8892800000001</v>
      </c>
      <c r="P173" s="62">
        <v>721.8892800000001</v>
      </c>
      <c r="Q173" s="62">
        <v>747.67104000000006</v>
      </c>
      <c r="R173" s="62">
        <v>721.8892800000001</v>
      </c>
    </row>
    <row r="174" spans="13:18" ht="15.75">
      <c r="M174" s="60" t="s">
        <v>85</v>
      </c>
      <c r="N174" s="62">
        <v>799.23455999999999</v>
      </c>
      <c r="O174" s="62">
        <v>799.23455999999999</v>
      </c>
      <c r="P174" s="62">
        <v>799.23455999999999</v>
      </c>
      <c r="Q174" s="62">
        <v>799.23455999999999</v>
      </c>
      <c r="R174" s="62">
        <v>799.23455999999999</v>
      </c>
    </row>
    <row r="175" spans="13:18" ht="15.75">
      <c r="M175" s="63" t="s">
        <v>5</v>
      </c>
      <c r="N175" s="64">
        <f>SUM(N163:N174)</f>
        <v>8727.4713599999995</v>
      </c>
      <c r="O175" s="64">
        <f t="shared" ref="O175:R175" si="105">SUM(O163:O174)</f>
        <v>8959.1615999999995</v>
      </c>
      <c r="P175" s="64">
        <f t="shared" si="105"/>
        <v>8959.1615999999995</v>
      </c>
      <c r="Q175" s="64">
        <f t="shared" si="105"/>
        <v>8984.9433599999993</v>
      </c>
      <c r="R175" s="64">
        <f t="shared" si="105"/>
        <v>8959.1615999999995</v>
      </c>
    </row>
  </sheetData>
  <mergeCells count="41">
    <mergeCell ref="M139:R139"/>
    <mergeCell ref="M140:M142"/>
    <mergeCell ref="N140:R140"/>
    <mergeCell ref="M159:R159"/>
    <mergeCell ref="M160:M162"/>
    <mergeCell ref="N160:R160"/>
    <mergeCell ref="A18:X18"/>
    <mergeCell ref="M85:M87"/>
    <mergeCell ref="N85:N87"/>
    <mergeCell ref="O85:O87"/>
    <mergeCell ref="P85:T85"/>
    <mergeCell ref="M84:T84"/>
    <mergeCell ref="J25:L25"/>
    <mergeCell ref="J35:L35"/>
    <mergeCell ref="J46:L46"/>
    <mergeCell ref="J58:L58"/>
    <mergeCell ref="J71:L71"/>
    <mergeCell ref="M112:M114"/>
    <mergeCell ref="N112:N114"/>
    <mergeCell ref="O112:O114"/>
    <mergeCell ref="P112:T112"/>
    <mergeCell ref="M93:T93"/>
    <mergeCell ref="M94:M96"/>
    <mergeCell ref="N94:N96"/>
    <mergeCell ref="O94:O96"/>
    <mergeCell ref="P94:T94"/>
    <mergeCell ref="M102:T102"/>
    <mergeCell ref="M103:M105"/>
    <mergeCell ref="N103:N105"/>
    <mergeCell ref="O103:O105"/>
    <mergeCell ref="P103:T103"/>
    <mergeCell ref="M111:T111"/>
    <mergeCell ref="M131:M133"/>
    <mergeCell ref="N131:N133"/>
    <mergeCell ref="O131:R131"/>
    <mergeCell ref="M130:R130"/>
    <mergeCell ref="M120:T120"/>
    <mergeCell ref="M121:M123"/>
    <mergeCell ref="N121:N123"/>
    <mergeCell ref="O121:O123"/>
    <mergeCell ref="P121:T12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2:Y180"/>
  <sheetViews>
    <sheetView topLeftCell="H153" workbookViewId="0">
      <selection activeCell="M144" sqref="M144:R180"/>
    </sheetView>
  </sheetViews>
  <sheetFormatPr defaultRowHeight="15"/>
  <cols>
    <col min="2" max="2" width="6.7109375" bestFit="1" customWidth="1"/>
    <col min="3" max="3" width="14.28515625" bestFit="1" customWidth="1"/>
    <col min="4" max="4" width="8.7109375" bestFit="1" customWidth="1"/>
    <col min="5" max="5" width="10" bestFit="1" customWidth="1"/>
    <col min="6" max="6" width="12" bestFit="1" customWidth="1"/>
    <col min="7" max="7" width="11.85546875" customWidth="1"/>
    <col min="8" max="8" width="10.5703125" customWidth="1"/>
    <col min="9" max="9" width="15" customWidth="1"/>
    <col min="10" max="10" width="9.85546875" bestFit="1" customWidth="1"/>
    <col min="11" max="11" width="0" hidden="1" customWidth="1"/>
    <col min="13" max="13" width="17.5703125" customWidth="1"/>
    <col min="14" max="14" width="11.28515625" customWidth="1"/>
    <col min="15" max="15" width="11.85546875" bestFit="1" customWidth="1"/>
    <col min="16" max="16" width="10.42578125" customWidth="1"/>
    <col min="17" max="17" width="11.7109375" customWidth="1"/>
    <col min="18" max="18" width="10.42578125" customWidth="1"/>
    <col min="19" max="19" width="11.5703125" customWidth="1"/>
    <col min="20" max="20" width="11.140625" customWidth="1"/>
    <col min="21" max="21" width="9.28515625" customWidth="1"/>
    <col min="22" max="22" width="10.85546875" customWidth="1"/>
    <col min="24" max="24" width="9.28515625" bestFit="1" customWidth="1"/>
  </cols>
  <sheetData>
    <row r="2" spans="2:24">
      <c r="L2">
        <v>93.5</v>
      </c>
      <c r="M2">
        <v>28.8</v>
      </c>
      <c r="N2">
        <v>1</v>
      </c>
      <c r="O2">
        <v>6.5000000000000002E-2</v>
      </c>
      <c r="P2">
        <f>N2-O2</f>
        <v>0.93500000000000005</v>
      </c>
      <c r="Q2">
        <f>M2*P2</f>
        <v>26.928000000000001</v>
      </c>
      <c r="R2">
        <f>Q2*91</f>
        <v>2450.4479999999999</v>
      </c>
      <c r="S2">
        <f>R2+R3</f>
        <v>9808.9920000000002</v>
      </c>
    </row>
    <row r="3" spans="2:24">
      <c r="L3">
        <f>100-L2</f>
        <v>6.5</v>
      </c>
      <c r="M3">
        <v>28.8</v>
      </c>
      <c r="N3">
        <v>1</v>
      </c>
      <c r="O3">
        <v>6.7500000000000004E-2</v>
      </c>
      <c r="P3">
        <f>N3-O3</f>
        <v>0.9325</v>
      </c>
      <c r="Q3">
        <f>M3*P3</f>
        <v>26.856000000000002</v>
      </c>
      <c r="R3">
        <f>Q3*(365-91)</f>
        <v>7358.5440000000008</v>
      </c>
    </row>
    <row r="4" spans="2:24">
      <c r="M4">
        <v>28.8</v>
      </c>
      <c r="N4">
        <v>1</v>
      </c>
      <c r="O4">
        <v>5.7500000000000002E-2</v>
      </c>
      <c r="P4">
        <f>N4-O4</f>
        <v>0.9425</v>
      </c>
      <c r="Q4">
        <f>M4*P4</f>
        <v>27.144000000000002</v>
      </c>
    </row>
    <row r="6" spans="2:24" ht="78">
      <c r="B6" s="8" t="s">
        <v>62</v>
      </c>
      <c r="C6" s="8" t="s">
        <v>63</v>
      </c>
      <c r="D6" s="8" t="s">
        <v>64</v>
      </c>
      <c r="E6" s="8" t="s">
        <v>65</v>
      </c>
      <c r="F6" s="8" t="s">
        <v>66</v>
      </c>
      <c r="G6" s="6" t="s">
        <v>69</v>
      </c>
      <c r="H6" s="6" t="s">
        <v>70</v>
      </c>
      <c r="I6" s="6" t="s">
        <v>67</v>
      </c>
      <c r="J6" s="3"/>
    </row>
    <row r="7" spans="2:24" ht="19.5">
      <c r="B7" s="18"/>
      <c r="C7" s="8"/>
      <c r="D7" s="8"/>
      <c r="E7" s="8"/>
      <c r="F7" s="8"/>
      <c r="G7" s="6"/>
      <c r="H7" s="6"/>
      <c r="I7" s="6"/>
      <c r="J7" s="3"/>
      <c r="L7" s="29">
        <v>30</v>
      </c>
      <c r="M7" s="29">
        <v>31</v>
      </c>
      <c r="N7" s="29">
        <v>30</v>
      </c>
      <c r="O7" s="29">
        <v>31</v>
      </c>
      <c r="P7" s="29">
        <v>31</v>
      </c>
      <c r="Q7" s="29">
        <v>30</v>
      </c>
      <c r="R7" s="29">
        <v>31</v>
      </c>
      <c r="S7" s="29">
        <v>30</v>
      </c>
      <c r="T7" s="29">
        <v>31</v>
      </c>
      <c r="U7" s="29">
        <v>31</v>
      </c>
      <c r="V7" s="29">
        <v>28</v>
      </c>
      <c r="W7" s="29">
        <v>31</v>
      </c>
      <c r="X7" s="30">
        <f>SUM(L7:W7)</f>
        <v>365</v>
      </c>
    </row>
    <row r="8" spans="2:24" ht="19.5">
      <c r="B8" s="18"/>
      <c r="C8" s="8"/>
      <c r="D8" s="8"/>
      <c r="E8" s="8"/>
      <c r="F8" s="8"/>
      <c r="G8" s="6"/>
      <c r="H8" s="6"/>
      <c r="I8" s="6"/>
      <c r="J8" s="3"/>
      <c r="L8" s="29" t="s">
        <v>74</v>
      </c>
      <c r="M8" s="29" t="s">
        <v>75</v>
      </c>
      <c r="N8" s="33" t="s">
        <v>76</v>
      </c>
      <c r="O8" s="33" t="s">
        <v>77</v>
      </c>
      <c r="P8" s="29" t="s">
        <v>78</v>
      </c>
      <c r="Q8" s="29" t="s">
        <v>79</v>
      </c>
      <c r="R8" s="29" t="s">
        <v>80</v>
      </c>
      <c r="S8" s="29" t="s">
        <v>81</v>
      </c>
      <c r="T8" s="29" t="s">
        <v>82</v>
      </c>
      <c r="U8" s="29" t="s">
        <v>83</v>
      </c>
      <c r="V8" s="33" t="s">
        <v>84</v>
      </c>
      <c r="W8" s="29" t="s">
        <v>85</v>
      </c>
      <c r="X8" s="30" t="s">
        <v>5</v>
      </c>
    </row>
    <row r="9" spans="2:24" s="38" customFormat="1" ht="19.5">
      <c r="B9" s="34">
        <v>1</v>
      </c>
      <c r="C9" s="34" t="s">
        <v>15</v>
      </c>
      <c r="D9" s="34" t="s">
        <v>60</v>
      </c>
      <c r="E9" s="34" t="s">
        <v>54</v>
      </c>
      <c r="F9" s="34">
        <v>55</v>
      </c>
      <c r="G9" s="34">
        <v>365</v>
      </c>
      <c r="H9" s="35">
        <f t="shared" ref="H9:H13" si="0">G9-F9/2</f>
        <v>337.5</v>
      </c>
      <c r="I9" s="36">
        <f>X9</f>
        <v>8727.4713599999995</v>
      </c>
      <c r="J9" s="53">
        <f>I9/(28.8*0.9425*122+28.8*0.9325*243)</f>
        <v>0.88715668981871132</v>
      </c>
      <c r="K9" s="37">
        <f>X9/S2</f>
        <v>0.88974191843565575</v>
      </c>
      <c r="L9" s="32">
        <f>28.8*0.9425*$L$7*0.96</f>
        <v>781.74720000000002</v>
      </c>
      <c r="M9" s="32">
        <f>28.8*0.9425*$M$7*0.96</f>
        <v>807.80543999999998</v>
      </c>
      <c r="N9" s="32">
        <f>28.8*0.9425*$N$7*0.96*15/30</f>
        <v>390.87360000000001</v>
      </c>
      <c r="O9" s="32">
        <f>28.8*0.9425*$O$7*0.96*18.5/31</f>
        <v>482.07743999999997</v>
      </c>
      <c r="P9" s="32">
        <f>28.8*0.9325*$P$7*0.96</f>
        <v>799.23455999999999</v>
      </c>
      <c r="Q9" s="32">
        <f>28.8*0.9325*$Q$7*0.96</f>
        <v>773.45280000000002</v>
      </c>
      <c r="R9" s="32">
        <f>28.8*0.9325*$R$7*0.96</f>
        <v>799.23455999999999</v>
      </c>
      <c r="S9" s="32">
        <f>28.8*0.9325*$S$7*0.96</f>
        <v>773.45280000000002</v>
      </c>
      <c r="T9" s="32">
        <f>28.8*0.9325*$T$7*0.96</f>
        <v>799.23455999999999</v>
      </c>
      <c r="U9" s="32">
        <f>28.8*0.9325*$U$7*0.96</f>
        <v>799.23455999999999</v>
      </c>
      <c r="V9" s="32">
        <f>28.8*0.9325*$V$7*0.96</f>
        <v>721.8892800000001</v>
      </c>
      <c r="W9" s="32">
        <f>28.8*0.9325*$W$7*0.96</f>
        <v>799.23455999999999</v>
      </c>
      <c r="X9" s="32">
        <f>SUM(L9:W9)</f>
        <v>8727.4713599999995</v>
      </c>
    </row>
    <row r="10" spans="2:24" s="38" customFormat="1" ht="19.5">
      <c r="B10" s="34">
        <v>2</v>
      </c>
      <c r="C10" s="34" t="s">
        <v>16</v>
      </c>
      <c r="D10" s="34" t="s">
        <v>53</v>
      </c>
      <c r="E10" s="34" t="s">
        <v>61</v>
      </c>
      <c r="F10" s="34">
        <v>35</v>
      </c>
      <c r="G10" s="34">
        <v>365</v>
      </c>
      <c r="H10" s="35">
        <f t="shared" si="0"/>
        <v>347.5</v>
      </c>
      <c r="I10" s="36">
        <f>H10*$Q$3*0.96</f>
        <v>8959.1616000000013</v>
      </c>
      <c r="J10" s="53">
        <f>I10/(28.8*0.9325*365)</f>
        <v>0.91397260273972614</v>
      </c>
      <c r="K10" s="37">
        <f t="shared" ref="K10:K13" si="1">I10/(G10*$Q$3)</f>
        <v>0.91397260273972614</v>
      </c>
      <c r="L10" s="32">
        <f>28.8*0.9325*$L$7*0.96</f>
        <v>773.45280000000002</v>
      </c>
      <c r="M10" s="32">
        <f>28.8*0.9325*$M$7*0.96</f>
        <v>799.23455999999999</v>
      </c>
      <c r="N10" s="32">
        <f>28.8*0.9325*$N$7*0.96*20/30</f>
        <v>515.63520000000005</v>
      </c>
      <c r="O10" s="32">
        <f>28.8*0.9325*$O$7*0.96*23.5/31</f>
        <v>605.87135999999998</v>
      </c>
      <c r="P10" s="32">
        <f>28.8*0.9325*$P$7*0.96</f>
        <v>799.23455999999999</v>
      </c>
      <c r="Q10" s="32">
        <f t="shared" ref="Q10:Q13" si="2">28.8*0.9325*$Q$7*0.96</f>
        <v>773.45280000000002</v>
      </c>
      <c r="R10" s="32">
        <f t="shared" ref="R10:R13" si="3">28.8*0.9325*$R$7*0.96</f>
        <v>799.23455999999999</v>
      </c>
      <c r="S10" s="32">
        <f t="shared" ref="S10:S13" si="4">28.8*0.9325*$S$7*0.96</f>
        <v>773.45280000000002</v>
      </c>
      <c r="T10" s="32">
        <f t="shared" ref="T10:T13" si="5">28.8*0.9325*$T$7*0.96</f>
        <v>799.23455999999999</v>
      </c>
      <c r="U10" s="32">
        <f t="shared" ref="U10:U13" si="6">28.8*0.9325*$U$7*0.96</f>
        <v>799.23455999999999</v>
      </c>
      <c r="V10" s="32">
        <f t="shared" ref="V10:V13" si="7">28.8*0.9325*$V$7*0.96</f>
        <v>721.8892800000001</v>
      </c>
      <c r="W10" s="32">
        <f t="shared" ref="W10:W13" si="8">28.8*0.9325*$W$7*0.96</f>
        <v>799.23455999999999</v>
      </c>
      <c r="X10" s="32">
        <f t="shared" ref="X10:X13" si="9">SUM(L10:W10)</f>
        <v>8959.1615999999995</v>
      </c>
    </row>
    <row r="11" spans="2:24" s="38" customFormat="1" ht="19.5">
      <c r="B11" s="34">
        <v>3</v>
      </c>
      <c r="C11" s="34" t="s">
        <v>17</v>
      </c>
      <c r="D11" s="34" t="s">
        <v>60</v>
      </c>
      <c r="E11" s="34" t="s">
        <v>61</v>
      </c>
      <c r="F11" s="34">
        <v>35</v>
      </c>
      <c r="G11" s="34">
        <v>365</v>
      </c>
      <c r="H11" s="35">
        <f t="shared" si="0"/>
        <v>347.5</v>
      </c>
      <c r="I11" s="36">
        <f t="shared" ref="I11:I13" si="10">H11*$Q$3*0.96</f>
        <v>8959.1616000000013</v>
      </c>
      <c r="J11" s="53">
        <f t="shared" ref="J11:J13" si="11">I11/(28.8*0.9325*365)</f>
        <v>0.91397260273972614</v>
      </c>
      <c r="K11" s="37">
        <f t="shared" si="1"/>
        <v>0.91397260273972614</v>
      </c>
      <c r="L11" s="32">
        <f t="shared" ref="L11:L13" si="12">28.8*0.9325*$L$7*0.96</f>
        <v>773.45280000000002</v>
      </c>
      <c r="M11" s="32">
        <f t="shared" ref="M11:M13" si="13">28.8*0.9325*$M$7*0.96</f>
        <v>799.23455999999999</v>
      </c>
      <c r="N11" s="32">
        <f t="shared" ref="N11:N13" si="14">28.8*0.9325*$N$7*0.96*20/30</f>
        <v>515.63520000000005</v>
      </c>
      <c r="O11" s="32">
        <f t="shared" ref="O11:O13" si="15">28.8*0.9325*$O$7*0.96*23.5/31</f>
        <v>605.87135999999998</v>
      </c>
      <c r="P11" s="32">
        <f t="shared" ref="P11:P13" si="16">28.8*0.9325*$P$7*0.96</f>
        <v>799.23455999999999</v>
      </c>
      <c r="Q11" s="32">
        <f t="shared" si="2"/>
        <v>773.45280000000002</v>
      </c>
      <c r="R11" s="32">
        <f t="shared" si="3"/>
        <v>799.23455999999999</v>
      </c>
      <c r="S11" s="32">
        <f t="shared" si="4"/>
        <v>773.45280000000002</v>
      </c>
      <c r="T11" s="32">
        <f t="shared" si="5"/>
        <v>799.23455999999999</v>
      </c>
      <c r="U11" s="32">
        <f t="shared" si="6"/>
        <v>799.23455999999999</v>
      </c>
      <c r="V11" s="32">
        <f t="shared" si="7"/>
        <v>721.8892800000001</v>
      </c>
      <c r="W11" s="32">
        <f t="shared" si="8"/>
        <v>799.23455999999999</v>
      </c>
      <c r="X11" s="32">
        <f t="shared" si="9"/>
        <v>8959.1615999999995</v>
      </c>
    </row>
    <row r="12" spans="2:24" s="38" customFormat="1" ht="19.5">
      <c r="B12" s="34">
        <v>4</v>
      </c>
      <c r="C12" s="34" t="s">
        <v>18</v>
      </c>
      <c r="D12" s="34" t="s">
        <v>53</v>
      </c>
      <c r="E12" s="34" t="s">
        <v>61</v>
      </c>
      <c r="F12" s="34">
        <v>35</v>
      </c>
      <c r="G12" s="34">
        <v>366</v>
      </c>
      <c r="H12" s="35">
        <f t="shared" si="0"/>
        <v>348.5</v>
      </c>
      <c r="I12" s="36">
        <f t="shared" si="10"/>
        <v>8984.9433600000011</v>
      </c>
      <c r="J12" s="53">
        <f>I12/(28.8*0.9325*366)</f>
        <v>0.9140983606557378</v>
      </c>
      <c r="K12" s="37">
        <f t="shared" si="1"/>
        <v>0.9140983606557378</v>
      </c>
      <c r="L12" s="32">
        <f t="shared" si="12"/>
        <v>773.45280000000002</v>
      </c>
      <c r="M12" s="32">
        <f t="shared" si="13"/>
        <v>799.23455999999999</v>
      </c>
      <c r="N12" s="32">
        <f t="shared" si="14"/>
        <v>515.63520000000005</v>
      </c>
      <c r="O12" s="32">
        <f t="shared" si="15"/>
        <v>605.87135999999998</v>
      </c>
      <c r="P12" s="32">
        <f t="shared" si="16"/>
        <v>799.23455999999999</v>
      </c>
      <c r="Q12" s="32">
        <f t="shared" si="2"/>
        <v>773.45280000000002</v>
      </c>
      <c r="R12" s="32">
        <f t="shared" si="3"/>
        <v>799.23455999999999</v>
      </c>
      <c r="S12" s="32">
        <f t="shared" si="4"/>
        <v>773.45280000000002</v>
      </c>
      <c r="T12" s="32">
        <f t="shared" si="5"/>
        <v>799.23455999999999</v>
      </c>
      <c r="U12" s="32">
        <f t="shared" si="6"/>
        <v>799.23455999999999</v>
      </c>
      <c r="V12" s="32">
        <f>28.8*0.9325*$V$7*0.96*29/28</f>
        <v>747.67104000000006</v>
      </c>
      <c r="W12" s="32">
        <f t="shared" si="8"/>
        <v>799.23455999999999</v>
      </c>
      <c r="X12" s="32">
        <f t="shared" si="9"/>
        <v>8984.9433599999993</v>
      </c>
    </row>
    <row r="13" spans="2:24" s="38" customFormat="1" ht="19.5">
      <c r="B13" s="34">
        <v>5</v>
      </c>
      <c r="C13" s="34" t="s">
        <v>19</v>
      </c>
      <c r="D13" s="34" t="s">
        <v>60</v>
      </c>
      <c r="E13" s="34" t="s">
        <v>61</v>
      </c>
      <c r="F13" s="34">
        <v>35</v>
      </c>
      <c r="G13" s="34">
        <v>365</v>
      </c>
      <c r="H13" s="35">
        <f t="shared" si="0"/>
        <v>347.5</v>
      </c>
      <c r="I13" s="36">
        <f t="shared" si="10"/>
        <v>8959.1616000000013</v>
      </c>
      <c r="J13" s="53">
        <f t="shared" si="11"/>
        <v>0.91397260273972614</v>
      </c>
      <c r="K13" s="37">
        <f t="shared" si="1"/>
        <v>0.91397260273972614</v>
      </c>
      <c r="L13" s="32">
        <f t="shared" si="12"/>
        <v>773.45280000000002</v>
      </c>
      <c r="M13" s="32">
        <f t="shared" si="13"/>
        <v>799.23455999999999</v>
      </c>
      <c r="N13" s="32">
        <f t="shared" si="14"/>
        <v>515.63520000000005</v>
      </c>
      <c r="O13" s="32">
        <f t="shared" si="15"/>
        <v>605.87135999999998</v>
      </c>
      <c r="P13" s="32">
        <f t="shared" si="16"/>
        <v>799.23455999999999</v>
      </c>
      <c r="Q13" s="32">
        <f t="shared" si="2"/>
        <v>773.45280000000002</v>
      </c>
      <c r="R13" s="32">
        <f t="shared" si="3"/>
        <v>799.23455999999999</v>
      </c>
      <c r="S13" s="32">
        <f t="shared" si="4"/>
        <v>773.45280000000002</v>
      </c>
      <c r="T13" s="32">
        <f t="shared" si="5"/>
        <v>799.23455999999999</v>
      </c>
      <c r="U13" s="32">
        <f t="shared" si="6"/>
        <v>799.23455999999999</v>
      </c>
      <c r="V13" s="32">
        <f t="shared" si="7"/>
        <v>721.8892800000001</v>
      </c>
      <c r="W13" s="32">
        <f t="shared" si="8"/>
        <v>799.23455999999999</v>
      </c>
      <c r="X13" s="32">
        <f t="shared" si="9"/>
        <v>8959.1615999999995</v>
      </c>
    </row>
    <row r="14" spans="2:24" ht="19.5">
      <c r="B14" s="3"/>
      <c r="C14" s="3"/>
      <c r="D14" s="3"/>
      <c r="E14" s="3"/>
      <c r="F14" s="3"/>
      <c r="G14" s="3"/>
      <c r="H14" s="3"/>
      <c r="I14" s="23"/>
      <c r="J14" s="3"/>
    </row>
    <row r="15" spans="2:24" ht="19.5">
      <c r="B15" s="3"/>
      <c r="C15" s="3"/>
      <c r="D15" s="3"/>
      <c r="E15" s="3"/>
      <c r="F15" s="3"/>
      <c r="G15" s="3"/>
      <c r="H15" s="3"/>
      <c r="I15" s="3"/>
      <c r="J15" s="41">
        <f>SUMPRODUCT(I9:I13,J9:J13)/SUM(I9:I13)</f>
        <v>0.90874933050172746</v>
      </c>
    </row>
    <row r="18" spans="1:25" ht="84" customHeight="1">
      <c r="A18" s="77" t="s">
        <v>86</v>
      </c>
      <c r="B18" s="77"/>
      <c r="C18" s="77"/>
      <c r="D18" s="77"/>
      <c r="E18" s="77"/>
      <c r="F18" s="77"/>
      <c r="G18" s="77"/>
      <c r="H18" s="77"/>
      <c r="I18" s="77"/>
      <c r="J18" s="77"/>
      <c r="K18" s="77"/>
      <c r="L18" s="77"/>
      <c r="M18" s="77"/>
      <c r="N18" s="77"/>
      <c r="O18" s="77"/>
      <c r="P18" s="77"/>
      <c r="Q18" s="77"/>
      <c r="R18" s="77"/>
      <c r="S18" s="77"/>
      <c r="T18" s="77"/>
      <c r="U18" s="77"/>
      <c r="V18" s="77"/>
      <c r="W18" s="77"/>
      <c r="X18" s="77"/>
    </row>
    <row r="21" spans="1:25">
      <c r="L21">
        <v>5.75</v>
      </c>
      <c r="M21">
        <v>5.75</v>
      </c>
      <c r="N21">
        <v>5.75</v>
      </c>
      <c r="O21">
        <v>5.75</v>
      </c>
      <c r="P21">
        <v>6.75</v>
      </c>
      <c r="Q21">
        <v>6.75</v>
      </c>
      <c r="R21">
        <v>6.75</v>
      </c>
      <c r="S21">
        <v>6.75</v>
      </c>
      <c r="T21">
        <v>6.75</v>
      </c>
      <c r="U21">
        <v>6.75</v>
      </c>
      <c r="V21">
        <v>6.75</v>
      </c>
      <c r="W21">
        <v>6.75</v>
      </c>
      <c r="X21" s="42">
        <f>SUMPRODUCT(L21:W21,L26:W26)/X26</f>
        <v>6.4678445418582271</v>
      </c>
    </row>
    <row r="22" spans="1:25">
      <c r="L22">
        <v>5.75</v>
      </c>
      <c r="M22">
        <v>5.75</v>
      </c>
      <c r="N22">
        <v>5.75</v>
      </c>
      <c r="O22">
        <v>5.75</v>
      </c>
      <c r="P22">
        <v>6.75</v>
      </c>
      <c r="Q22">
        <v>6.75</v>
      </c>
      <c r="R22">
        <v>6.75</v>
      </c>
      <c r="S22">
        <v>6.75</v>
      </c>
      <c r="T22">
        <v>6.75</v>
      </c>
      <c r="U22">
        <v>6.75</v>
      </c>
      <c r="V22">
        <v>6.75</v>
      </c>
      <c r="W22">
        <v>6.75</v>
      </c>
      <c r="X22" s="42">
        <f>SUMPRODUCT(L22:W22,L27:W27)/X27</f>
        <v>6.532058361662842</v>
      </c>
    </row>
    <row r="23" spans="1:25">
      <c r="L23">
        <v>5.75</v>
      </c>
      <c r="M23">
        <v>5.75</v>
      </c>
      <c r="N23">
        <v>5.75</v>
      </c>
      <c r="O23">
        <v>5.75</v>
      </c>
      <c r="P23">
        <v>6.75</v>
      </c>
      <c r="Q23">
        <v>6.75</v>
      </c>
      <c r="R23">
        <v>6.75</v>
      </c>
      <c r="S23">
        <v>6.75</v>
      </c>
      <c r="T23">
        <v>6.75</v>
      </c>
      <c r="U23">
        <v>6.75</v>
      </c>
      <c r="V23">
        <v>6.75</v>
      </c>
      <c r="W23">
        <v>6.75</v>
      </c>
      <c r="X23" s="42">
        <f>SUMPRODUCT(L23:W23,L28:W28)/X28</f>
        <v>6.4133756120410155</v>
      </c>
    </row>
    <row r="26" spans="1:25" ht="19.5">
      <c r="L26" s="39">
        <f>L9</f>
        <v>781.74720000000002</v>
      </c>
      <c r="M26" s="39">
        <f t="shared" ref="M26:W26" si="17">M9</f>
        <v>807.80543999999998</v>
      </c>
      <c r="N26" s="39">
        <f t="shared" si="17"/>
        <v>390.87360000000001</v>
      </c>
      <c r="O26" s="39">
        <f t="shared" si="17"/>
        <v>482.07743999999997</v>
      </c>
      <c r="P26" s="39">
        <f t="shared" si="17"/>
        <v>799.23455999999999</v>
      </c>
      <c r="Q26" s="39">
        <f t="shared" si="17"/>
        <v>773.45280000000002</v>
      </c>
      <c r="R26" s="39">
        <f t="shared" si="17"/>
        <v>799.23455999999999</v>
      </c>
      <c r="S26" s="39">
        <f t="shared" si="17"/>
        <v>773.45280000000002</v>
      </c>
      <c r="T26" s="39">
        <f t="shared" si="17"/>
        <v>799.23455999999999</v>
      </c>
      <c r="U26" s="39">
        <f t="shared" si="17"/>
        <v>799.23455999999999</v>
      </c>
      <c r="V26" s="39">
        <f t="shared" si="17"/>
        <v>721.8892800000001</v>
      </c>
      <c r="W26" s="39">
        <f t="shared" si="17"/>
        <v>799.23455999999999</v>
      </c>
      <c r="X26" s="45">
        <f t="shared" ref="X26:X31" si="18">SUM(L26:W26)</f>
        <v>8727.4713599999995</v>
      </c>
      <c r="Y26" s="40">
        <f>X26/(28.8*0.9425*122+28.8*0.9325*243)</f>
        <v>0.88715668981871132</v>
      </c>
    </row>
    <row r="27" spans="1:25" ht="19.5">
      <c r="J27" t="s">
        <v>87</v>
      </c>
      <c r="L27" s="39">
        <f>14.4*0.9425*$L$7*0.96</f>
        <v>390.87360000000001</v>
      </c>
      <c r="M27" s="39">
        <f>14.4*0.9425*$M$7*0.96</f>
        <v>403.90271999999999</v>
      </c>
      <c r="N27" s="46">
        <v>0</v>
      </c>
      <c r="O27" s="39">
        <f>14.4*0.9425*$O$7*0.96*6/31</f>
        <v>78.174719999999994</v>
      </c>
      <c r="P27" s="39">
        <f>28.8/2*0.9325*$P$7*0.96</f>
        <v>399.61727999999999</v>
      </c>
      <c r="Q27" s="44">
        <f>Q26/2</f>
        <v>386.72640000000001</v>
      </c>
      <c r="R27" s="44">
        <f t="shared" ref="R27:W27" si="19">R26/2</f>
        <v>399.61727999999999</v>
      </c>
      <c r="S27" s="44">
        <f t="shared" si="19"/>
        <v>386.72640000000001</v>
      </c>
      <c r="T27" s="44">
        <f t="shared" si="19"/>
        <v>399.61727999999999</v>
      </c>
      <c r="U27" s="44">
        <f t="shared" si="19"/>
        <v>399.61727999999999</v>
      </c>
      <c r="V27" s="44">
        <f t="shared" si="19"/>
        <v>360.94464000000005</v>
      </c>
      <c r="W27" s="44">
        <f t="shared" si="19"/>
        <v>399.61727999999999</v>
      </c>
      <c r="X27" s="45">
        <f t="shared" si="18"/>
        <v>4005.4348799999998</v>
      </c>
      <c r="Y27" s="40">
        <f>X27/(14.4*0.9425*122+14.4*0.9325*243)</f>
        <v>0.81431337963742279</v>
      </c>
    </row>
    <row r="28" spans="1:25" ht="19.5">
      <c r="J28" t="s">
        <v>88</v>
      </c>
      <c r="L28" s="39">
        <f>14.4*0.9425*$L$7*0.96</f>
        <v>390.87360000000001</v>
      </c>
      <c r="M28" s="39">
        <f>14.4*0.9425*$M$7*0.96</f>
        <v>403.90271999999999</v>
      </c>
      <c r="N28" s="39">
        <f>14.4*0.9425*$N$7*0.96*30/30</f>
        <v>390.87360000000001</v>
      </c>
      <c r="O28" s="39">
        <f>14.4*0.9425*$O$7*0.96*31/31</f>
        <v>403.90271999999999</v>
      </c>
      <c r="P28" s="44">
        <f>P27</f>
        <v>399.61727999999999</v>
      </c>
      <c r="Q28" s="44">
        <f>Q27</f>
        <v>386.72640000000001</v>
      </c>
      <c r="R28" s="44">
        <f t="shared" ref="R28:W28" si="20">R27</f>
        <v>399.61727999999999</v>
      </c>
      <c r="S28" s="44">
        <f t="shared" si="20"/>
        <v>386.72640000000001</v>
      </c>
      <c r="T28" s="44">
        <f t="shared" si="20"/>
        <v>399.61727999999999</v>
      </c>
      <c r="U28" s="44">
        <f t="shared" si="20"/>
        <v>399.61727999999999</v>
      </c>
      <c r="V28" s="44">
        <f t="shared" si="20"/>
        <v>360.94464000000005</v>
      </c>
      <c r="W28" s="44">
        <f t="shared" si="20"/>
        <v>399.61727999999999</v>
      </c>
      <c r="X28" s="45">
        <f t="shared" si="18"/>
        <v>4722.0364799999998</v>
      </c>
      <c r="Y28" s="40">
        <f>X28/(14.4*0.9425*122+14.4*0.9325*243)</f>
        <v>0.95999999999999985</v>
      </c>
    </row>
    <row r="29" spans="1:25" ht="19.5">
      <c r="L29" s="54">
        <f>L26/0.9425</f>
        <v>829.44</v>
      </c>
      <c r="M29" s="54">
        <f t="shared" ref="M29:O29" si="21">M26/0.9425</f>
        <v>857.08799999999997</v>
      </c>
      <c r="N29" s="54">
        <f t="shared" si="21"/>
        <v>414.72</v>
      </c>
      <c r="O29" s="54">
        <f t="shared" si="21"/>
        <v>511.48799999999994</v>
      </c>
      <c r="P29" s="54">
        <f>P26/0.9325</f>
        <v>857.08799999999997</v>
      </c>
      <c r="Q29" s="54">
        <f t="shared" ref="Q29:W29" si="22">Q26/0.9325</f>
        <v>829.44</v>
      </c>
      <c r="R29" s="54">
        <f t="shared" si="22"/>
        <v>857.08799999999997</v>
      </c>
      <c r="S29" s="54">
        <f t="shared" si="22"/>
        <v>829.44</v>
      </c>
      <c r="T29" s="54">
        <f t="shared" si="22"/>
        <v>857.08799999999997</v>
      </c>
      <c r="U29" s="54">
        <f t="shared" si="22"/>
        <v>857.08799999999997</v>
      </c>
      <c r="V29" s="54">
        <f t="shared" si="22"/>
        <v>774.14400000000012</v>
      </c>
      <c r="W29" s="54">
        <f t="shared" si="22"/>
        <v>857.08799999999997</v>
      </c>
      <c r="X29" s="45">
        <f t="shared" si="18"/>
        <v>9331.1999999999989</v>
      </c>
      <c r="Y29" s="40"/>
    </row>
    <row r="30" spans="1:25" ht="19.5">
      <c r="L30" s="54">
        <f t="shared" ref="L30:O31" si="23">L27/0.9425</f>
        <v>414.72</v>
      </c>
      <c r="M30" s="54">
        <f t="shared" si="23"/>
        <v>428.54399999999998</v>
      </c>
      <c r="N30" s="54">
        <f t="shared" si="23"/>
        <v>0</v>
      </c>
      <c r="O30" s="54">
        <f t="shared" si="23"/>
        <v>82.943999999999988</v>
      </c>
      <c r="P30" s="54">
        <f t="shared" ref="P30:W31" si="24">P27/0.9325</f>
        <v>428.54399999999998</v>
      </c>
      <c r="Q30" s="54">
        <f t="shared" si="24"/>
        <v>414.72</v>
      </c>
      <c r="R30" s="54">
        <f t="shared" si="24"/>
        <v>428.54399999999998</v>
      </c>
      <c r="S30" s="54">
        <f t="shared" si="24"/>
        <v>414.72</v>
      </c>
      <c r="T30" s="54">
        <f t="shared" si="24"/>
        <v>428.54399999999998</v>
      </c>
      <c r="U30" s="54">
        <f t="shared" si="24"/>
        <v>428.54399999999998</v>
      </c>
      <c r="V30" s="54">
        <f t="shared" si="24"/>
        <v>387.07200000000006</v>
      </c>
      <c r="W30" s="54">
        <f t="shared" si="24"/>
        <v>428.54399999999998</v>
      </c>
      <c r="X30" s="45">
        <f t="shared" si="18"/>
        <v>4285.4399999999996</v>
      </c>
      <c r="Y30" s="40"/>
    </row>
    <row r="31" spans="1:25" ht="19.5">
      <c r="L31" s="54">
        <f t="shared" si="23"/>
        <v>414.72</v>
      </c>
      <c r="M31" s="54">
        <f t="shared" si="23"/>
        <v>428.54399999999998</v>
      </c>
      <c r="N31" s="54">
        <f t="shared" si="23"/>
        <v>414.72</v>
      </c>
      <c r="O31" s="54">
        <f t="shared" si="23"/>
        <v>428.54399999999998</v>
      </c>
      <c r="P31" s="54">
        <f t="shared" si="24"/>
        <v>428.54399999999998</v>
      </c>
      <c r="Q31" s="54">
        <f t="shared" si="24"/>
        <v>414.72</v>
      </c>
      <c r="R31" s="54">
        <f t="shared" si="24"/>
        <v>428.54399999999998</v>
      </c>
      <c r="S31" s="54">
        <f t="shared" si="24"/>
        <v>414.72</v>
      </c>
      <c r="T31" s="54">
        <f t="shared" si="24"/>
        <v>428.54399999999998</v>
      </c>
      <c r="U31" s="54">
        <f t="shared" si="24"/>
        <v>428.54399999999998</v>
      </c>
      <c r="V31" s="54">
        <f t="shared" si="24"/>
        <v>387.07200000000006</v>
      </c>
      <c r="W31" s="54">
        <f t="shared" si="24"/>
        <v>428.54399999999998</v>
      </c>
      <c r="X31" s="45">
        <f t="shared" si="18"/>
        <v>5045.7599999999993</v>
      </c>
      <c r="Y31" s="40"/>
    </row>
    <row r="32" spans="1:25" ht="19.5">
      <c r="L32" s="54"/>
      <c r="M32" s="54"/>
      <c r="N32" s="54"/>
      <c r="O32" s="54"/>
      <c r="P32" s="54"/>
      <c r="Q32" s="54"/>
      <c r="R32" s="54"/>
      <c r="S32" s="54"/>
      <c r="T32" s="54"/>
      <c r="U32" s="54"/>
      <c r="V32" s="54"/>
      <c r="W32" s="54"/>
      <c r="X32" s="57">
        <f>(X29-X26)/X29</f>
        <v>6.4699999999999938E-2</v>
      </c>
      <c r="Y32" s="40"/>
    </row>
    <row r="33" spans="10:25" ht="19.5">
      <c r="L33" s="54"/>
      <c r="M33" s="54"/>
      <c r="N33" s="54"/>
      <c r="O33" s="54"/>
      <c r="P33" s="54"/>
      <c r="Q33" s="54"/>
      <c r="R33" s="54"/>
      <c r="S33" s="54"/>
      <c r="T33" s="54"/>
      <c r="U33" s="54"/>
      <c r="V33" s="54"/>
      <c r="W33" s="54"/>
      <c r="X33" s="57">
        <f t="shared" ref="X33:X34" si="25">(X30-X27)/X30</f>
        <v>6.533870967741931E-2</v>
      </c>
      <c r="Y33" s="40"/>
    </row>
    <row r="34" spans="10:25" ht="19.5">
      <c r="L34" s="54"/>
      <c r="M34" s="54"/>
      <c r="N34" s="54"/>
      <c r="O34" s="54"/>
      <c r="P34" s="54"/>
      <c r="Q34" s="54"/>
      <c r="R34" s="54"/>
      <c r="S34" s="54"/>
      <c r="T34" s="54"/>
      <c r="U34" s="54"/>
      <c r="V34" s="54"/>
      <c r="W34" s="54"/>
      <c r="X34" s="57">
        <f t="shared" si="25"/>
        <v>6.4157534246575262E-2</v>
      </c>
      <c r="Y34" s="40"/>
    </row>
    <row r="36" spans="10:25" ht="19.5">
      <c r="L36" s="43">
        <f t="shared" ref="L36:W36" si="26">L10</f>
        <v>773.45280000000002</v>
      </c>
      <c r="M36" s="43">
        <f t="shared" si="26"/>
        <v>799.23455999999999</v>
      </c>
      <c r="N36" s="43">
        <f t="shared" si="26"/>
        <v>515.63520000000005</v>
      </c>
      <c r="O36" s="43">
        <f t="shared" si="26"/>
        <v>605.87135999999998</v>
      </c>
      <c r="P36" s="43">
        <f t="shared" si="26"/>
        <v>799.23455999999999</v>
      </c>
      <c r="Q36" s="43">
        <f t="shared" si="26"/>
        <v>773.45280000000002</v>
      </c>
      <c r="R36" s="43">
        <f t="shared" si="26"/>
        <v>799.23455999999999</v>
      </c>
      <c r="S36" s="43">
        <f t="shared" si="26"/>
        <v>773.45280000000002</v>
      </c>
      <c r="T36" s="43">
        <f t="shared" si="26"/>
        <v>799.23455999999999</v>
      </c>
      <c r="U36" s="43">
        <f t="shared" si="26"/>
        <v>799.23455999999999</v>
      </c>
      <c r="V36" s="43">
        <f t="shared" si="26"/>
        <v>721.8892800000001</v>
      </c>
      <c r="W36" s="43">
        <f t="shared" si="26"/>
        <v>799.23455999999999</v>
      </c>
      <c r="X36" s="45">
        <f t="shared" ref="X36:X41" si="27">SUM(L36:W36)</f>
        <v>8959.1615999999995</v>
      </c>
      <c r="Y36" s="40">
        <f>X36/(28.8*0.9325*365)</f>
        <v>0.91397260273972591</v>
      </c>
    </row>
    <row r="37" spans="10:25" ht="19.5">
      <c r="J37" t="s">
        <v>87</v>
      </c>
      <c r="L37" s="39">
        <f>14.4*0.9325*$L$7*0.96</f>
        <v>386.72640000000001</v>
      </c>
      <c r="M37" s="39">
        <f>14.4*0.9325*$M$7*0.96</f>
        <v>399.61727999999999</v>
      </c>
      <c r="N37" s="39">
        <f>14.4*0.9325*$N$7*0.96*30/30</f>
        <v>386.72640000000007</v>
      </c>
      <c r="O37" s="39">
        <f>14.4*0.9325*$O$7*0.96*31/31</f>
        <v>399.61727999999999</v>
      </c>
      <c r="P37" s="39">
        <f>28.8/2*0.9325*$P$7*0.96</f>
        <v>399.61727999999999</v>
      </c>
      <c r="Q37" s="44">
        <f>Q36/2</f>
        <v>386.72640000000001</v>
      </c>
      <c r="R37" s="44">
        <f t="shared" ref="R37:W37" si="28">R36/2</f>
        <v>399.61727999999999</v>
      </c>
      <c r="S37" s="44">
        <f t="shared" si="28"/>
        <v>386.72640000000001</v>
      </c>
      <c r="T37" s="44">
        <f t="shared" si="28"/>
        <v>399.61727999999999</v>
      </c>
      <c r="U37" s="44">
        <f t="shared" si="28"/>
        <v>399.61727999999999</v>
      </c>
      <c r="V37" s="44">
        <f t="shared" si="28"/>
        <v>360.94464000000005</v>
      </c>
      <c r="W37" s="44">
        <f t="shared" si="28"/>
        <v>399.61727999999999</v>
      </c>
      <c r="X37" s="45">
        <f t="shared" si="27"/>
        <v>4705.1711999999998</v>
      </c>
      <c r="Y37" s="40">
        <f>X37/(14.4*0.9325*365)</f>
        <v>0.95999999999999985</v>
      </c>
    </row>
    <row r="38" spans="10:25" ht="19.5">
      <c r="J38" t="s">
        <v>88</v>
      </c>
      <c r="L38" s="39">
        <f>14.4*0.9325*$L$7*0.96</f>
        <v>386.72640000000001</v>
      </c>
      <c r="M38" s="39">
        <f>14.4*0.9325*$M$7*0.96</f>
        <v>399.61727999999999</v>
      </c>
      <c r="N38" s="39">
        <f>14.4*0.9325*$N$7*0.96*10/30</f>
        <v>128.90880000000001</v>
      </c>
      <c r="O38" s="39">
        <f>14.4*0.9325*$O$7*0.96*16/31</f>
        <v>206.25407999999999</v>
      </c>
      <c r="P38" s="44">
        <f>P37</f>
        <v>399.61727999999999</v>
      </c>
      <c r="Q38" s="44">
        <f>Q37</f>
        <v>386.72640000000001</v>
      </c>
      <c r="R38" s="44">
        <f t="shared" ref="R38:W38" si="29">R37</f>
        <v>399.61727999999999</v>
      </c>
      <c r="S38" s="44">
        <f t="shared" si="29"/>
        <v>386.72640000000001</v>
      </c>
      <c r="T38" s="44">
        <f t="shared" si="29"/>
        <v>399.61727999999999</v>
      </c>
      <c r="U38" s="44">
        <f t="shared" si="29"/>
        <v>399.61727999999999</v>
      </c>
      <c r="V38" s="44">
        <f t="shared" si="29"/>
        <v>360.94464000000005</v>
      </c>
      <c r="W38" s="44">
        <f t="shared" si="29"/>
        <v>399.61727999999999</v>
      </c>
      <c r="X38" s="45">
        <f t="shared" si="27"/>
        <v>4253.9904000000006</v>
      </c>
      <c r="Y38" s="40">
        <f>X38/(14.4*0.9325*365)</f>
        <v>0.86794520547945209</v>
      </c>
    </row>
    <row r="39" spans="10:25" ht="19.5">
      <c r="L39" s="54">
        <f>L36/0.9325</f>
        <v>829.44</v>
      </c>
      <c r="M39" s="54">
        <f t="shared" ref="M39:W39" si="30">M36/0.9325</f>
        <v>857.08799999999997</v>
      </c>
      <c r="N39" s="54">
        <f t="shared" si="30"/>
        <v>552.96</v>
      </c>
      <c r="O39" s="54">
        <f t="shared" si="30"/>
        <v>649.72799999999995</v>
      </c>
      <c r="P39" s="54">
        <f t="shared" si="30"/>
        <v>857.08799999999997</v>
      </c>
      <c r="Q39" s="54">
        <f t="shared" si="30"/>
        <v>829.44</v>
      </c>
      <c r="R39" s="54">
        <f t="shared" si="30"/>
        <v>857.08799999999997</v>
      </c>
      <c r="S39" s="54">
        <f t="shared" si="30"/>
        <v>829.44</v>
      </c>
      <c r="T39" s="54">
        <f t="shared" si="30"/>
        <v>857.08799999999997</v>
      </c>
      <c r="U39" s="54">
        <f t="shared" si="30"/>
        <v>857.08799999999997</v>
      </c>
      <c r="V39" s="54">
        <f t="shared" si="30"/>
        <v>774.14400000000012</v>
      </c>
      <c r="W39" s="54">
        <f t="shared" si="30"/>
        <v>857.08799999999997</v>
      </c>
      <c r="X39" s="45">
        <f t="shared" si="27"/>
        <v>9607.68</v>
      </c>
      <c r="Y39" s="40"/>
    </row>
    <row r="40" spans="10:25" ht="19.5">
      <c r="L40" s="54">
        <f t="shared" ref="L40:W41" si="31">L37/0.9325</f>
        <v>414.72</v>
      </c>
      <c r="M40" s="54">
        <f t="shared" si="31"/>
        <v>428.54399999999998</v>
      </c>
      <c r="N40" s="54">
        <f t="shared" si="31"/>
        <v>414.72000000000008</v>
      </c>
      <c r="O40" s="54">
        <f t="shared" si="31"/>
        <v>428.54399999999998</v>
      </c>
      <c r="P40" s="54">
        <f t="shared" si="31"/>
        <v>428.54399999999998</v>
      </c>
      <c r="Q40" s="54">
        <f t="shared" si="31"/>
        <v>414.72</v>
      </c>
      <c r="R40" s="54">
        <f t="shared" si="31"/>
        <v>428.54399999999998</v>
      </c>
      <c r="S40" s="54">
        <f t="shared" si="31"/>
        <v>414.72</v>
      </c>
      <c r="T40" s="54">
        <f t="shared" si="31"/>
        <v>428.54399999999998</v>
      </c>
      <c r="U40" s="54">
        <f t="shared" si="31"/>
        <v>428.54399999999998</v>
      </c>
      <c r="V40" s="54">
        <f t="shared" si="31"/>
        <v>387.07200000000006</v>
      </c>
      <c r="W40" s="54">
        <f t="shared" si="31"/>
        <v>428.54399999999998</v>
      </c>
      <c r="X40" s="45">
        <f t="shared" si="27"/>
        <v>5045.76</v>
      </c>
      <c r="Y40" s="40"/>
    </row>
    <row r="41" spans="10:25" ht="19.5">
      <c r="L41" s="54">
        <f t="shared" si="31"/>
        <v>414.72</v>
      </c>
      <c r="M41" s="54">
        <f t="shared" si="31"/>
        <v>428.54399999999998</v>
      </c>
      <c r="N41" s="54">
        <f t="shared" si="31"/>
        <v>138.24</v>
      </c>
      <c r="O41" s="54">
        <f t="shared" si="31"/>
        <v>221.184</v>
      </c>
      <c r="P41" s="54">
        <f t="shared" si="31"/>
        <v>428.54399999999998</v>
      </c>
      <c r="Q41" s="54">
        <f t="shared" si="31"/>
        <v>414.72</v>
      </c>
      <c r="R41" s="54">
        <f t="shared" si="31"/>
        <v>428.54399999999998</v>
      </c>
      <c r="S41" s="54">
        <f t="shared" si="31"/>
        <v>414.72</v>
      </c>
      <c r="T41" s="54">
        <f t="shared" si="31"/>
        <v>428.54399999999998</v>
      </c>
      <c r="U41" s="54">
        <f t="shared" si="31"/>
        <v>428.54399999999998</v>
      </c>
      <c r="V41" s="54">
        <f t="shared" si="31"/>
        <v>387.07200000000006</v>
      </c>
      <c r="W41" s="54">
        <f t="shared" si="31"/>
        <v>428.54399999999998</v>
      </c>
      <c r="X41" s="45">
        <f t="shared" si="27"/>
        <v>4561.92</v>
      </c>
      <c r="Y41" s="40"/>
    </row>
    <row r="42" spans="10:25" ht="19.5">
      <c r="L42" s="54"/>
      <c r="M42" s="54"/>
      <c r="N42" s="54"/>
      <c r="O42" s="54"/>
      <c r="P42" s="54"/>
      <c r="Q42" s="54"/>
      <c r="R42" s="54"/>
      <c r="S42" s="54"/>
      <c r="T42" s="54"/>
      <c r="U42" s="54"/>
      <c r="V42" s="54"/>
      <c r="W42" s="54"/>
      <c r="X42" s="57">
        <f>(X39-X36)/X39</f>
        <v>6.7500000000000088E-2</v>
      </c>
      <c r="Y42" s="40"/>
    </row>
    <row r="43" spans="10:25" ht="19.5">
      <c r="L43" s="54"/>
      <c r="M43" s="54"/>
      <c r="N43" s="54"/>
      <c r="O43" s="54"/>
      <c r="P43" s="54"/>
      <c r="Q43" s="54"/>
      <c r="R43" s="54"/>
      <c r="S43" s="54"/>
      <c r="T43" s="54"/>
      <c r="U43" s="54"/>
      <c r="V43" s="54"/>
      <c r="W43" s="54"/>
      <c r="X43" s="57">
        <f t="shared" ref="X43:X44" si="32">(X40-X37)/X40</f>
        <v>6.7500000000000088E-2</v>
      </c>
      <c r="Y43" s="40"/>
    </row>
    <row r="44" spans="10:25" ht="19.5">
      <c r="L44" s="54"/>
      <c r="M44" s="54"/>
      <c r="N44" s="54"/>
      <c r="O44" s="54"/>
      <c r="P44" s="54"/>
      <c r="Q44" s="54"/>
      <c r="R44" s="54"/>
      <c r="S44" s="54"/>
      <c r="T44" s="54"/>
      <c r="U44" s="54"/>
      <c r="V44" s="54"/>
      <c r="W44" s="54"/>
      <c r="X44" s="57">
        <f t="shared" si="32"/>
        <v>6.749999999999988E-2</v>
      </c>
      <c r="Y44" s="40"/>
    </row>
    <row r="47" spans="10:25" ht="19.5">
      <c r="L47" s="43">
        <f>L11</f>
        <v>773.45280000000002</v>
      </c>
      <c r="M47" s="43">
        <f t="shared" ref="M47:W47" si="33">M11</f>
        <v>799.23455999999999</v>
      </c>
      <c r="N47" s="43">
        <f t="shared" si="33"/>
        <v>515.63520000000005</v>
      </c>
      <c r="O47" s="43">
        <f t="shared" si="33"/>
        <v>605.87135999999998</v>
      </c>
      <c r="P47" s="43">
        <f t="shared" si="33"/>
        <v>799.23455999999999</v>
      </c>
      <c r="Q47" s="43">
        <f t="shared" si="33"/>
        <v>773.45280000000002</v>
      </c>
      <c r="R47" s="43">
        <f t="shared" si="33"/>
        <v>799.23455999999999</v>
      </c>
      <c r="S47" s="43">
        <f t="shared" si="33"/>
        <v>773.45280000000002</v>
      </c>
      <c r="T47" s="43">
        <f t="shared" si="33"/>
        <v>799.23455999999999</v>
      </c>
      <c r="U47" s="43">
        <f t="shared" si="33"/>
        <v>799.23455999999999</v>
      </c>
      <c r="V47" s="43">
        <f t="shared" si="33"/>
        <v>721.8892800000001</v>
      </c>
      <c r="W47" s="43">
        <f t="shared" si="33"/>
        <v>799.23455999999999</v>
      </c>
      <c r="X47" s="45">
        <f t="shared" ref="X47:X52" si="34">SUM(L47:W47)</f>
        <v>8959.1615999999995</v>
      </c>
      <c r="Y47" s="40">
        <f>X47/(28.8*0.9325*365)</f>
        <v>0.91397260273972591</v>
      </c>
    </row>
    <row r="48" spans="10:25" ht="19.5">
      <c r="J48" t="s">
        <v>87</v>
      </c>
      <c r="L48" s="39">
        <f>14.4*0.9325*$L$7*0.96</f>
        <v>386.72640000000001</v>
      </c>
      <c r="M48" s="39">
        <f>14.4*0.9325*$M$7*0.96</f>
        <v>399.61727999999999</v>
      </c>
      <c r="N48" s="39">
        <f>14.4*0.9325*$N$7*0.96*10/30</f>
        <v>128.90880000000001</v>
      </c>
      <c r="O48" s="39">
        <f>14.4*0.9325*$O$7*0.96*16/31</f>
        <v>206.25407999999999</v>
      </c>
      <c r="P48" s="39">
        <f>28.8/2*0.9325*$P$7*0.96</f>
        <v>399.61727999999999</v>
      </c>
      <c r="Q48" s="44">
        <f>Q47/2</f>
        <v>386.72640000000001</v>
      </c>
      <c r="R48" s="44">
        <f t="shared" ref="R48:W48" si="35">R47/2</f>
        <v>399.61727999999999</v>
      </c>
      <c r="S48" s="44">
        <f t="shared" si="35"/>
        <v>386.72640000000001</v>
      </c>
      <c r="T48" s="44">
        <f t="shared" si="35"/>
        <v>399.61727999999999</v>
      </c>
      <c r="U48" s="44">
        <f t="shared" si="35"/>
        <v>399.61727999999999</v>
      </c>
      <c r="V48" s="44">
        <f t="shared" si="35"/>
        <v>360.94464000000005</v>
      </c>
      <c r="W48" s="44">
        <f t="shared" si="35"/>
        <v>399.61727999999999</v>
      </c>
      <c r="X48" s="45">
        <f t="shared" si="34"/>
        <v>4253.9904000000006</v>
      </c>
      <c r="Y48" s="40">
        <f>X48/(14.4*0.9325*365)</f>
        <v>0.86794520547945209</v>
      </c>
    </row>
    <row r="49" spans="10:25" ht="19.5">
      <c r="J49" t="s">
        <v>88</v>
      </c>
      <c r="L49" s="39">
        <f>14.4*0.9325*$L$7*0.96</f>
        <v>386.72640000000001</v>
      </c>
      <c r="M49" s="39">
        <f>14.4*0.9325*$M$7*0.96</f>
        <v>399.61727999999999</v>
      </c>
      <c r="N49" s="39">
        <f>14.4*0.9325*$N$7*0.96*30/30</f>
        <v>386.72640000000007</v>
      </c>
      <c r="O49" s="39">
        <f>14.4*0.9325*$O$7*0.96*31/31</f>
        <v>399.61727999999999</v>
      </c>
      <c r="P49" s="44">
        <f>P48</f>
        <v>399.61727999999999</v>
      </c>
      <c r="Q49" s="44">
        <f>Q48</f>
        <v>386.72640000000001</v>
      </c>
      <c r="R49" s="44">
        <f t="shared" ref="R49:W49" si="36">R48</f>
        <v>399.61727999999999</v>
      </c>
      <c r="S49" s="44">
        <f t="shared" si="36"/>
        <v>386.72640000000001</v>
      </c>
      <c r="T49" s="44">
        <f t="shared" si="36"/>
        <v>399.61727999999999</v>
      </c>
      <c r="U49" s="44">
        <f t="shared" si="36"/>
        <v>399.61727999999999</v>
      </c>
      <c r="V49" s="44">
        <f t="shared" si="36"/>
        <v>360.94464000000005</v>
      </c>
      <c r="W49" s="44">
        <f t="shared" si="36"/>
        <v>399.61727999999999</v>
      </c>
      <c r="X49" s="45">
        <f t="shared" si="34"/>
        <v>4705.1711999999998</v>
      </c>
      <c r="Y49" s="40">
        <f>X49/(14.4*0.9325*365)</f>
        <v>0.95999999999999985</v>
      </c>
    </row>
    <row r="50" spans="10:25" ht="19.5">
      <c r="L50" s="54">
        <f>L47/0.9325</f>
        <v>829.44</v>
      </c>
      <c r="M50" s="54">
        <f t="shared" ref="M50:W50" si="37">M47/0.9325</f>
        <v>857.08799999999997</v>
      </c>
      <c r="N50" s="54">
        <f t="shared" si="37"/>
        <v>552.96</v>
      </c>
      <c r="O50" s="54">
        <f t="shared" si="37"/>
        <v>649.72799999999995</v>
      </c>
      <c r="P50" s="54">
        <f t="shared" si="37"/>
        <v>857.08799999999997</v>
      </c>
      <c r="Q50" s="54">
        <f t="shared" si="37"/>
        <v>829.44</v>
      </c>
      <c r="R50" s="54">
        <f t="shared" si="37"/>
        <v>857.08799999999997</v>
      </c>
      <c r="S50" s="54">
        <f t="shared" si="37"/>
        <v>829.44</v>
      </c>
      <c r="T50" s="54">
        <f t="shared" si="37"/>
        <v>857.08799999999997</v>
      </c>
      <c r="U50" s="54">
        <f t="shared" si="37"/>
        <v>857.08799999999997</v>
      </c>
      <c r="V50" s="54">
        <f t="shared" si="37"/>
        <v>774.14400000000012</v>
      </c>
      <c r="W50" s="54">
        <f t="shared" si="37"/>
        <v>857.08799999999997</v>
      </c>
      <c r="X50" s="45">
        <f t="shared" si="34"/>
        <v>9607.68</v>
      </c>
      <c r="Y50" s="40"/>
    </row>
    <row r="51" spans="10:25" ht="19.5">
      <c r="L51" s="54">
        <f t="shared" ref="L51:W52" si="38">L48/0.9325</f>
        <v>414.72</v>
      </c>
      <c r="M51" s="54">
        <f t="shared" si="38"/>
        <v>428.54399999999998</v>
      </c>
      <c r="N51" s="54">
        <f t="shared" si="38"/>
        <v>138.24</v>
      </c>
      <c r="O51" s="54">
        <f t="shared" si="38"/>
        <v>221.184</v>
      </c>
      <c r="P51" s="54">
        <f t="shared" si="38"/>
        <v>428.54399999999998</v>
      </c>
      <c r="Q51" s="54">
        <f t="shared" si="38"/>
        <v>414.72</v>
      </c>
      <c r="R51" s="54">
        <f t="shared" si="38"/>
        <v>428.54399999999998</v>
      </c>
      <c r="S51" s="54">
        <f t="shared" si="38"/>
        <v>414.72</v>
      </c>
      <c r="T51" s="54">
        <f t="shared" si="38"/>
        <v>428.54399999999998</v>
      </c>
      <c r="U51" s="54">
        <f t="shared" si="38"/>
        <v>428.54399999999998</v>
      </c>
      <c r="V51" s="54">
        <f t="shared" si="38"/>
        <v>387.07200000000006</v>
      </c>
      <c r="W51" s="54">
        <f t="shared" si="38"/>
        <v>428.54399999999998</v>
      </c>
      <c r="X51" s="45">
        <f t="shared" si="34"/>
        <v>4561.92</v>
      </c>
      <c r="Y51" s="40"/>
    </row>
    <row r="52" spans="10:25" ht="19.5">
      <c r="L52" s="54">
        <f t="shared" si="38"/>
        <v>414.72</v>
      </c>
      <c r="M52" s="54">
        <f t="shared" si="38"/>
        <v>428.54399999999998</v>
      </c>
      <c r="N52" s="54">
        <f t="shared" si="38"/>
        <v>414.72000000000008</v>
      </c>
      <c r="O52" s="54">
        <f t="shared" si="38"/>
        <v>428.54399999999998</v>
      </c>
      <c r="P52" s="54">
        <f t="shared" si="38"/>
        <v>428.54399999999998</v>
      </c>
      <c r="Q52" s="54">
        <f t="shared" si="38"/>
        <v>414.72</v>
      </c>
      <c r="R52" s="54">
        <f t="shared" si="38"/>
        <v>428.54399999999998</v>
      </c>
      <c r="S52" s="54">
        <f t="shared" si="38"/>
        <v>414.72</v>
      </c>
      <c r="T52" s="54">
        <f t="shared" si="38"/>
        <v>428.54399999999998</v>
      </c>
      <c r="U52" s="54">
        <f t="shared" si="38"/>
        <v>428.54399999999998</v>
      </c>
      <c r="V52" s="54">
        <f t="shared" si="38"/>
        <v>387.07200000000006</v>
      </c>
      <c r="W52" s="54">
        <f t="shared" si="38"/>
        <v>428.54399999999998</v>
      </c>
      <c r="X52" s="45">
        <f t="shared" si="34"/>
        <v>5045.76</v>
      </c>
      <c r="Y52" s="40"/>
    </row>
    <row r="53" spans="10:25" ht="19.5">
      <c r="L53" s="54"/>
      <c r="M53" s="54"/>
      <c r="N53" s="54"/>
      <c r="O53" s="54"/>
      <c r="P53" s="54"/>
      <c r="Q53" s="54"/>
      <c r="R53" s="54"/>
      <c r="S53" s="54"/>
      <c r="T53" s="54"/>
      <c r="U53" s="54"/>
      <c r="V53" s="54"/>
      <c r="W53" s="54"/>
      <c r="X53" s="57">
        <f>(X50-X47)/X50</f>
        <v>6.7500000000000088E-2</v>
      </c>
      <c r="Y53" s="40"/>
    </row>
    <row r="54" spans="10:25" ht="19.5">
      <c r="L54" s="54"/>
      <c r="M54" s="54"/>
      <c r="N54" s="54"/>
      <c r="O54" s="54"/>
      <c r="P54" s="54"/>
      <c r="Q54" s="54"/>
      <c r="R54" s="54"/>
      <c r="S54" s="54"/>
      <c r="T54" s="54"/>
      <c r="U54" s="54"/>
      <c r="V54" s="54"/>
      <c r="W54" s="54"/>
      <c r="X54" s="57">
        <f t="shared" ref="X54:X55" si="39">(X51-X48)/X51</f>
        <v>6.749999999999988E-2</v>
      </c>
      <c r="Y54" s="40"/>
    </row>
    <row r="55" spans="10:25" ht="19.5">
      <c r="L55" s="54"/>
      <c r="M55" s="54"/>
      <c r="N55" s="54"/>
      <c r="O55" s="54"/>
      <c r="P55" s="54"/>
      <c r="Q55" s="54"/>
      <c r="R55" s="54"/>
      <c r="S55" s="54"/>
      <c r="T55" s="54"/>
      <c r="U55" s="54"/>
      <c r="V55" s="54"/>
      <c r="W55" s="54"/>
      <c r="X55" s="57">
        <f t="shared" si="39"/>
        <v>6.7500000000000088E-2</v>
      </c>
      <c r="Y55" s="40"/>
    </row>
    <row r="56" spans="10:25" ht="19.5">
      <c r="L56" s="54"/>
      <c r="M56" s="54"/>
      <c r="N56" s="54"/>
      <c r="O56" s="54"/>
      <c r="P56" s="55"/>
      <c r="Q56" s="55"/>
      <c r="R56" s="55"/>
      <c r="S56" s="55"/>
      <c r="T56" s="55"/>
      <c r="U56" s="55"/>
      <c r="V56" s="55"/>
      <c r="W56" s="55"/>
      <c r="X56" s="56"/>
      <c r="Y56" s="40"/>
    </row>
    <row r="59" spans="10:25" ht="19.5">
      <c r="L59" s="43">
        <f>L12</f>
        <v>773.45280000000002</v>
      </c>
      <c r="M59" s="43">
        <f t="shared" ref="M59:W59" si="40">M12</f>
        <v>799.23455999999999</v>
      </c>
      <c r="N59" s="43">
        <f t="shared" si="40"/>
        <v>515.63520000000005</v>
      </c>
      <c r="O59" s="43">
        <f t="shared" si="40"/>
        <v>605.87135999999998</v>
      </c>
      <c r="P59" s="43">
        <f t="shared" si="40"/>
        <v>799.23455999999999</v>
      </c>
      <c r="Q59" s="43">
        <f t="shared" si="40"/>
        <v>773.45280000000002</v>
      </c>
      <c r="R59" s="43">
        <f t="shared" si="40"/>
        <v>799.23455999999999</v>
      </c>
      <c r="S59" s="43">
        <f t="shared" si="40"/>
        <v>773.45280000000002</v>
      </c>
      <c r="T59" s="43">
        <f t="shared" si="40"/>
        <v>799.23455999999999</v>
      </c>
      <c r="U59" s="43">
        <f t="shared" si="40"/>
        <v>799.23455999999999</v>
      </c>
      <c r="V59" s="43">
        <f t="shared" si="40"/>
        <v>747.67104000000006</v>
      </c>
      <c r="W59" s="43">
        <f t="shared" si="40"/>
        <v>799.23455999999999</v>
      </c>
      <c r="X59" s="45">
        <f t="shared" ref="X59:X64" si="41">SUM(L59:W59)</f>
        <v>8984.9433599999993</v>
      </c>
      <c r="Y59" s="40">
        <f>X59/(28.8*0.9325*366)</f>
        <v>0.91409836065573757</v>
      </c>
    </row>
    <row r="60" spans="10:25" ht="19.5">
      <c r="J60" t="s">
        <v>87</v>
      </c>
      <c r="L60" s="39">
        <f>14.4*0.9325*$L$7*0.96</f>
        <v>386.72640000000001</v>
      </c>
      <c r="M60" s="39">
        <f>14.4*0.9325*$M$7*0.96</f>
        <v>399.61727999999999</v>
      </c>
      <c r="N60" s="39">
        <f>14.4*0.9325*$N$7*0.96*30/30</f>
        <v>386.72640000000007</v>
      </c>
      <c r="O60" s="39">
        <f>14.4*0.9325*$O$7*0.96*31/31</f>
        <v>399.61727999999999</v>
      </c>
      <c r="P60" s="39">
        <f>28.8/2*0.9325*$P$7*0.96</f>
        <v>399.61727999999999</v>
      </c>
      <c r="Q60" s="44">
        <f>Q59/2</f>
        <v>386.72640000000001</v>
      </c>
      <c r="R60" s="44">
        <f t="shared" ref="R60:W60" si="42">R59/2</f>
        <v>399.61727999999999</v>
      </c>
      <c r="S60" s="44">
        <f t="shared" si="42"/>
        <v>386.72640000000001</v>
      </c>
      <c r="T60" s="44">
        <f t="shared" si="42"/>
        <v>399.61727999999999</v>
      </c>
      <c r="U60" s="44">
        <f t="shared" si="42"/>
        <v>399.61727999999999</v>
      </c>
      <c r="V60" s="44">
        <f t="shared" si="42"/>
        <v>373.83552000000003</v>
      </c>
      <c r="W60" s="44">
        <f t="shared" si="42"/>
        <v>399.61727999999999</v>
      </c>
      <c r="X60" s="45">
        <f t="shared" si="41"/>
        <v>4718.0620799999997</v>
      </c>
      <c r="Y60" s="40">
        <f>X60/(14.4*0.9325*366)</f>
        <v>0.96</v>
      </c>
    </row>
    <row r="61" spans="10:25" ht="19.5">
      <c r="J61" t="s">
        <v>88</v>
      </c>
      <c r="L61" s="39">
        <f>14.4*0.9325*$L$7*0.96</f>
        <v>386.72640000000001</v>
      </c>
      <c r="M61" s="39">
        <f>14.4*0.9325*$M$7*0.96</f>
        <v>399.61727999999999</v>
      </c>
      <c r="N61" s="39">
        <f>14.4*0.9325*$N$7*0.96*10/30</f>
        <v>128.90880000000001</v>
      </c>
      <c r="O61" s="39">
        <f>14.4*0.9325*$O$7*0.96*16/31</f>
        <v>206.25407999999999</v>
      </c>
      <c r="P61" s="44">
        <f>P60</f>
        <v>399.61727999999999</v>
      </c>
      <c r="Q61" s="44">
        <f>Q60</f>
        <v>386.72640000000001</v>
      </c>
      <c r="R61" s="44">
        <f t="shared" ref="R61:W61" si="43">R60</f>
        <v>399.61727999999999</v>
      </c>
      <c r="S61" s="44">
        <f t="shared" si="43"/>
        <v>386.72640000000001</v>
      </c>
      <c r="T61" s="44">
        <f t="shared" si="43"/>
        <v>399.61727999999999</v>
      </c>
      <c r="U61" s="44">
        <f t="shared" si="43"/>
        <v>399.61727999999999</v>
      </c>
      <c r="V61" s="44">
        <f t="shared" si="43"/>
        <v>373.83552000000003</v>
      </c>
      <c r="W61" s="44">
        <f t="shared" si="43"/>
        <v>399.61727999999999</v>
      </c>
      <c r="X61" s="45">
        <f t="shared" si="41"/>
        <v>4266.8812800000005</v>
      </c>
      <c r="Y61" s="40">
        <f>X61/(14.4*0.9325*366)</f>
        <v>0.86819672131147552</v>
      </c>
    </row>
    <row r="62" spans="10:25" ht="19.5">
      <c r="L62" s="54">
        <f>L59/0.9325</f>
        <v>829.44</v>
      </c>
      <c r="M62" s="54">
        <f t="shared" ref="M62:W62" si="44">M59/0.9325</f>
        <v>857.08799999999997</v>
      </c>
      <c r="N62" s="54">
        <f t="shared" si="44"/>
        <v>552.96</v>
      </c>
      <c r="O62" s="54">
        <f t="shared" si="44"/>
        <v>649.72799999999995</v>
      </c>
      <c r="P62" s="54">
        <f t="shared" si="44"/>
        <v>857.08799999999997</v>
      </c>
      <c r="Q62" s="54">
        <f t="shared" si="44"/>
        <v>829.44</v>
      </c>
      <c r="R62" s="54">
        <f t="shared" si="44"/>
        <v>857.08799999999997</v>
      </c>
      <c r="S62" s="54">
        <f t="shared" si="44"/>
        <v>829.44</v>
      </c>
      <c r="T62" s="54">
        <f t="shared" si="44"/>
        <v>857.08799999999997</v>
      </c>
      <c r="U62" s="54">
        <f t="shared" si="44"/>
        <v>857.08799999999997</v>
      </c>
      <c r="V62" s="54">
        <f t="shared" si="44"/>
        <v>801.79200000000003</v>
      </c>
      <c r="W62" s="54">
        <f t="shared" si="44"/>
        <v>857.08799999999997</v>
      </c>
      <c r="X62" s="45">
        <f t="shared" si="41"/>
        <v>9635.3279999999995</v>
      </c>
      <c r="Y62" s="40"/>
    </row>
    <row r="63" spans="10:25" ht="19.5">
      <c r="L63" s="54">
        <f t="shared" ref="L63:W64" si="45">L60/0.9325</f>
        <v>414.72</v>
      </c>
      <c r="M63" s="54">
        <f t="shared" si="45"/>
        <v>428.54399999999998</v>
      </c>
      <c r="N63" s="54">
        <f t="shared" si="45"/>
        <v>414.72000000000008</v>
      </c>
      <c r="O63" s="54">
        <f t="shared" si="45"/>
        <v>428.54399999999998</v>
      </c>
      <c r="P63" s="54">
        <f t="shared" si="45"/>
        <v>428.54399999999998</v>
      </c>
      <c r="Q63" s="54">
        <f t="shared" si="45"/>
        <v>414.72</v>
      </c>
      <c r="R63" s="54">
        <f t="shared" si="45"/>
        <v>428.54399999999998</v>
      </c>
      <c r="S63" s="54">
        <f t="shared" si="45"/>
        <v>414.72</v>
      </c>
      <c r="T63" s="54">
        <f t="shared" si="45"/>
        <v>428.54399999999998</v>
      </c>
      <c r="U63" s="54">
        <f t="shared" si="45"/>
        <v>428.54399999999998</v>
      </c>
      <c r="V63" s="54">
        <f t="shared" si="45"/>
        <v>400.89600000000002</v>
      </c>
      <c r="W63" s="54">
        <f t="shared" si="45"/>
        <v>428.54399999999998</v>
      </c>
      <c r="X63" s="45">
        <f t="shared" si="41"/>
        <v>5059.5839999999998</v>
      </c>
      <c r="Y63" s="40"/>
    </row>
    <row r="64" spans="10:25" ht="19.5">
      <c r="L64" s="54">
        <f t="shared" si="45"/>
        <v>414.72</v>
      </c>
      <c r="M64" s="54">
        <f t="shared" si="45"/>
        <v>428.54399999999998</v>
      </c>
      <c r="N64" s="54">
        <f t="shared" si="45"/>
        <v>138.24</v>
      </c>
      <c r="O64" s="54">
        <f t="shared" si="45"/>
        <v>221.184</v>
      </c>
      <c r="P64" s="54">
        <f t="shared" si="45"/>
        <v>428.54399999999998</v>
      </c>
      <c r="Q64" s="54">
        <f t="shared" si="45"/>
        <v>414.72</v>
      </c>
      <c r="R64" s="54">
        <f t="shared" si="45"/>
        <v>428.54399999999998</v>
      </c>
      <c r="S64" s="54">
        <f t="shared" si="45"/>
        <v>414.72</v>
      </c>
      <c r="T64" s="54">
        <f t="shared" si="45"/>
        <v>428.54399999999998</v>
      </c>
      <c r="U64" s="54">
        <f t="shared" si="45"/>
        <v>428.54399999999998</v>
      </c>
      <c r="V64" s="54">
        <f t="shared" si="45"/>
        <v>400.89600000000002</v>
      </c>
      <c r="W64" s="54">
        <f t="shared" si="45"/>
        <v>428.54399999999998</v>
      </c>
      <c r="X64" s="45">
        <f t="shared" si="41"/>
        <v>4575.7439999999997</v>
      </c>
      <c r="Y64" s="40"/>
    </row>
    <row r="65" spans="10:25" ht="19.5">
      <c r="L65" s="54"/>
      <c r="M65" s="54"/>
      <c r="N65" s="54"/>
      <c r="O65" s="54"/>
      <c r="P65" s="54"/>
      <c r="Q65" s="54"/>
      <c r="R65" s="54"/>
      <c r="S65" s="54"/>
      <c r="T65" s="54"/>
      <c r="U65" s="54"/>
      <c r="V65" s="54"/>
      <c r="W65" s="54"/>
      <c r="X65" s="57">
        <f>(X62-X59)/X62</f>
        <v>6.7500000000000032E-2</v>
      </c>
      <c r="Y65" s="40"/>
    </row>
    <row r="66" spans="10:25" ht="19.5">
      <c r="L66" s="54"/>
      <c r="M66" s="54"/>
      <c r="N66" s="54"/>
      <c r="O66" s="54"/>
      <c r="P66" s="54"/>
      <c r="Q66" s="54"/>
      <c r="R66" s="54"/>
      <c r="S66" s="54"/>
      <c r="T66" s="54"/>
      <c r="U66" s="54"/>
      <c r="V66" s="54"/>
      <c r="W66" s="54"/>
      <c r="X66" s="57">
        <f t="shared" ref="X66:X67" si="46">(X63-X60)/X63</f>
        <v>6.7500000000000032E-2</v>
      </c>
      <c r="Y66" s="40"/>
    </row>
    <row r="67" spans="10:25" ht="19.5">
      <c r="L67" s="54"/>
      <c r="M67" s="54"/>
      <c r="N67" s="54"/>
      <c r="O67" s="54"/>
      <c r="P67" s="54"/>
      <c r="Q67" s="54"/>
      <c r="R67" s="54"/>
      <c r="S67" s="54"/>
      <c r="T67" s="54"/>
      <c r="U67" s="54"/>
      <c r="V67" s="54"/>
      <c r="W67" s="54"/>
      <c r="X67" s="57">
        <f t="shared" si="46"/>
        <v>6.7499999999999824E-2</v>
      </c>
      <c r="Y67" s="40"/>
    </row>
    <row r="68" spans="10:25" ht="19.5">
      <c r="L68" s="54"/>
      <c r="M68" s="54"/>
      <c r="N68" s="54"/>
      <c r="O68" s="54"/>
      <c r="P68" s="55"/>
      <c r="Q68" s="55"/>
      <c r="R68" s="55"/>
      <c r="S68" s="55"/>
      <c r="T68" s="55"/>
      <c r="U68" s="55"/>
      <c r="V68" s="55"/>
      <c r="W68" s="55"/>
      <c r="X68" s="56"/>
      <c r="Y68" s="40"/>
    </row>
    <row r="69" spans="10:25" ht="19.5">
      <c r="L69" s="54"/>
      <c r="M69" s="54"/>
      <c r="N69" s="54"/>
      <c r="O69" s="54"/>
      <c r="P69" s="55"/>
      <c r="Q69" s="55"/>
      <c r="R69" s="55"/>
      <c r="S69" s="55"/>
      <c r="T69" s="55"/>
      <c r="U69" s="55"/>
      <c r="V69" s="55"/>
      <c r="W69" s="55"/>
      <c r="X69" s="56"/>
      <c r="Y69" s="40"/>
    </row>
    <row r="72" spans="10:25" ht="19.5">
      <c r="L72" s="43">
        <f>L13</f>
        <v>773.45280000000002</v>
      </c>
      <c r="M72" s="43">
        <f t="shared" ref="M72:W72" si="47">M13</f>
        <v>799.23455999999999</v>
      </c>
      <c r="N72" s="43">
        <f t="shared" si="47"/>
        <v>515.63520000000005</v>
      </c>
      <c r="O72" s="43">
        <f t="shared" si="47"/>
        <v>605.87135999999998</v>
      </c>
      <c r="P72" s="43">
        <f t="shared" si="47"/>
        <v>799.23455999999999</v>
      </c>
      <c r="Q72" s="43">
        <f t="shared" si="47"/>
        <v>773.45280000000002</v>
      </c>
      <c r="R72" s="43">
        <f t="shared" si="47"/>
        <v>799.23455999999999</v>
      </c>
      <c r="S72" s="43">
        <f t="shared" si="47"/>
        <v>773.45280000000002</v>
      </c>
      <c r="T72" s="43">
        <f t="shared" si="47"/>
        <v>799.23455999999999</v>
      </c>
      <c r="U72" s="43">
        <f t="shared" si="47"/>
        <v>799.23455999999999</v>
      </c>
      <c r="V72" s="43">
        <f t="shared" si="47"/>
        <v>721.8892800000001</v>
      </c>
      <c r="W72" s="43">
        <f t="shared" si="47"/>
        <v>799.23455999999999</v>
      </c>
      <c r="X72" s="45">
        <f t="shared" ref="X72:X77" si="48">SUM(L72:W72)</f>
        <v>8959.1615999999995</v>
      </c>
      <c r="Y72" s="40">
        <f>X72/(28.8*0.9325*365)</f>
        <v>0.91397260273972591</v>
      </c>
    </row>
    <row r="73" spans="10:25" ht="19.5">
      <c r="J73" t="s">
        <v>87</v>
      </c>
      <c r="L73" s="39">
        <f>14.4*0.9325*$L$7*0.96</f>
        <v>386.72640000000001</v>
      </c>
      <c r="M73" s="39">
        <f>14.4*0.9325*$M$7*0.96</f>
        <v>399.61727999999999</v>
      </c>
      <c r="N73" s="39">
        <f>14.4*0.9325*$N$7*0.96*10/30</f>
        <v>128.90880000000001</v>
      </c>
      <c r="O73" s="39">
        <f>14.4*0.9325*$O$7*0.96*16/31</f>
        <v>206.25407999999999</v>
      </c>
      <c r="P73" s="39">
        <f>28.8/2*0.9325*$P$7*0.96</f>
        <v>399.61727999999999</v>
      </c>
      <c r="Q73" s="44">
        <f>Q72/2</f>
        <v>386.72640000000001</v>
      </c>
      <c r="R73" s="44">
        <f t="shared" ref="R73:W73" si="49">R72/2</f>
        <v>399.61727999999999</v>
      </c>
      <c r="S73" s="44">
        <f t="shared" si="49"/>
        <v>386.72640000000001</v>
      </c>
      <c r="T73" s="44">
        <f t="shared" si="49"/>
        <v>399.61727999999999</v>
      </c>
      <c r="U73" s="44">
        <f t="shared" si="49"/>
        <v>399.61727999999999</v>
      </c>
      <c r="V73" s="44">
        <f t="shared" si="49"/>
        <v>360.94464000000005</v>
      </c>
      <c r="W73" s="44">
        <f t="shared" si="49"/>
        <v>399.61727999999999</v>
      </c>
      <c r="X73" s="45">
        <f t="shared" si="48"/>
        <v>4253.9904000000006</v>
      </c>
      <c r="Y73" s="40">
        <f>X73/(14.4*0.9325*365)</f>
        <v>0.86794520547945209</v>
      </c>
    </row>
    <row r="74" spans="10:25" ht="19.5">
      <c r="J74" t="s">
        <v>88</v>
      </c>
      <c r="L74" s="39">
        <f>14.4*0.9325*$L$7*0.96</f>
        <v>386.72640000000001</v>
      </c>
      <c r="M74" s="39">
        <f>14.4*0.9325*$M$7*0.96</f>
        <v>399.61727999999999</v>
      </c>
      <c r="N74" s="39">
        <f>14.4*0.9325*$N$7*0.96*30/30</f>
        <v>386.72640000000007</v>
      </c>
      <c r="O74" s="39">
        <f>14.4*0.9325*$O$7*0.96*31/31</f>
        <v>399.61727999999999</v>
      </c>
      <c r="P74" s="44">
        <f>P73</f>
        <v>399.61727999999999</v>
      </c>
      <c r="Q74" s="44">
        <f>Q73</f>
        <v>386.72640000000001</v>
      </c>
      <c r="R74" s="44">
        <f t="shared" ref="R74:W74" si="50">R73</f>
        <v>399.61727999999999</v>
      </c>
      <c r="S74" s="44">
        <f t="shared" si="50"/>
        <v>386.72640000000001</v>
      </c>
      <c r="T74" s="44">
        <f t="shared" si="50"/>
        <v>399.61727999999999</v>
      </c>
      <c r="U74" s="44">
        <f t="shared" si="50"/>
        <v>399.61727999999999</v>
      </c>
      <c r="V74" s="44">
        <f t="shared" si="50"/>
        <v>360.94464000000005</v>
      </c>
      <c r="W74" s="44">
        <f t="shared" si="50"/>
        <v>399.61727999999999</v>
      </c>
      <c r="X74" s="45">
        <f t="shared" si="48"/>
        <v>4705.1711999999998</v>
      </c>
      <c r="Y74" s="40">
        <f>X74/(14.4*0.9325*365)</f>
        <v>0.95999999999999985</v>
      </c>
    </row>
    <row r="75" spans="10:25" ht="19.5">
      <c r="L75" s="54">
        <f>L72/0.9325</f>
        <v>829.44</v>
      </c>
      <c r="M75" s="54">
        <f t="shared" ref="M75:W75" si="51">M72/0.9325</f>
        <v>857.08799999999997</v>
      </c>
      <c r="N75" s="54">
        <f t="shared" si="51"/>
        <v>552.96</v>
      </c>
      <c r="O75" s="54">
        <f t="shared" si="51"/>
        <v>649.72799999999995</v>
      </c>
      <c r="P75" s="54">
        <f t="shared" si="51"/>
        <v>857.08799999999997</v>
      </c>
      <c r="Q75" s="54">
        <f t="shared" si="51"/>
        <v>829.44</v>
      </c>
      <c r="R75" s="54">
        <f t="shared" si="51"/>
        <v>857.08799999999997</v>
      </c>
      <c r="S75" s="54">
        <f t="shared" si="51"/>
        <v>829.44</v>
      </c>
      <c r="T75" s="54">
        <f t="shared" si="51"/>
        <v>857.08799999999997</v>
      </c>
      <c r="U75" s="54">
        <f t="shared" si="51"/>
        <v>857.08799999999997</v>
      </c>
      <c r="V75" s="54">
        <f t="shared" si="51"/>
        <v>774.14400000000012</v>
      </c>
      <c r="W75" s="54">
        <f t="shared" si="51"/>
        <v>857.08799999999997</v>
      </c>
      <c r="X75" s="45">
        <f t="shared" si="48"/>
        <v>9607.68</v>
      </c>
      <c r="Y75" s="40"/>
    </row>
    <row r="76" spans="10:25" ht="19.5">
      <c r="L76" s="54">
        <f t="shared" ref="L76:W77" si="52">L73/0.9325</f>
        <v>414.72</v>
      </c>
      <c r="M76" s="54">
        <f t="shared" si="52"/>
        <v>428.54399999999998</v>
      </c>
      <c r="N76" s="54">
        <f t="shared" si="52"/>
        <v>138.24</v>
      </c>
      <c r="O76" s="54">
        <f t="shared" si="52"/>
        <v>221.184</v>
      </c>
      <c r="P76" s="54">
        <f t="shared" si="52"/>
        <v>428.54399999999998</v>
      </c>
      <c r="Q76" s="54">
        <f t="shared" si="52"/>
        <v>414.72</v>
      </c>
      <c r="R76" s="54">
        <f t="shared" si="52"/>
        <v>428.54399999999998</v>
      </c>
      <c r="S76" s="54">
        <f t="shared" si="52"/>
        <v>414.72</v>
      </c>
      <c r="T76" s="54">
        <f t="shared" si="52"/>
        <v>428.54399999999998</v>
      </c>
      <c r="U76" s="54">
        <f t="shared" si="52"/>
        <v>428.54399999999998</v>
      </c>
      <c r="V76" s="54">
        <f t="shared" si="52"/>
        <v>387.07200000000006</v>
      </c>
      <c r="W76" s="54">
        <f t="shared" si="52"/>
        <v>428.54399999999998</v>
      </c>
      <c r="X76" s="45">
        <f t="shared" si="48"/>
        <v>4561.92</v>
      </c>
      <c r="Y76" s="40"/>
    </row>
    <row r="77" spans="10:25" ht="19.5">
      <c r="L77" s="54">
        <f t="shared" si="52"/>
        <v>414.72</v>
      </c>
      <c r="M77" s="54">
        <f t="shared" si="52"/>
        <v>428.54399999999998</v>
      </c>
      <c r="N77" s="54">
        <f t="shared" si="52"/>
        <v>414.72000000000008</v>
      </c>
      <c r="O77" s="54">
        <f t="shared" si="52"/>
        <v>428.54399999999998</v>
      </c>
      <c r="P77" s="54">
        <f t="shared" si="52"/>
        <v>428.54399999999998</v>
      </c>
      <c r="Q77" s="54">
        <f t="shared" si="52"/>
        <v>414.72</v>
      </c>
      <c r="R77" s="54">
        <f t="shared" si="52"/>
        <v>428.54399999999998</v>
      </c>
      <c r="S77" s="54">
        <f t="shared" si="52"/>
        <v>414.72</v>
      </c>
      <c r="T77" s="54">
        <f t="shared" si="52"/>
        <v>428.54399999999998</v>
      </c>
      <c r="U77" s="54">
        <f t="shared" si="52"/>
        <v>428.54399999999998</v>
      </c>
      <c r="V77" s="54">
        <f t="shared" si="52"/>
        <v>387.07200000000006</v>
      </c>
      <c r="W77" s="54">
        <f t="shared" si="52"/>
        <v>428.54399999999998</v>
      </c>
      <c r="X77" s="45">
        <f t="shared" si="48"/>
        <v>5045.76</v>
      </c>
      <c r="Y77" s="40"/>
    </row>
    <row r="78" spans="10:25" ht="19.5">
      <c r="L78" s="54"/>
      <c r="M78" s="54"/>
      <c r="N78" s="54"/>
      <c r="O78" s="54"/>
      <c r="P78" s="54"/>
      <c r="Q78" s="54"/>
      <c r="R78" s="54"/>
      <c r="S78" s="54"/>
      <c r="T78" s="54"/>
      <c r="U78" s="54"/>
      <c r="V78" s="54"/>
      <c r="W78" s="54"/>
      <c r="X78" s="57">
        <f>(X75-X72)/X75</f>
        <v>6.7500000000000088E-2</v>
      </c>
      <c r="Y78" s="40"/>
    </row>
    <row r="79" spans="10:25" ht="19.5">
      <c r="L79" s="54"/>
      <c r="M79" s="54"/>
      <c r="N79" s="54"/>
      <c r="O79" s="54"/>
      <c r="P79" s="54"/>
      <c r="Q79" s="54"/>
      <c r="R79" s="54"/>
      <c r="S79" s="54"/>
      <c r="T79" s="54"/>
      <c r="U79" s="54"/>
      <c r="V79" s="54"/>
      <c r="W79" s="54"/>
      <c r="X79" s="57">
        <f t="shared" ref="X79:X80" si="53">(X76-X73)/X76</f>
        <v>6.749999999999988E-2</v>
      </c>
      <c r="Y79" s="40"/>
    </row>
    <row r="80" spans="10:25" ht="19.5">
      <c r="L80" s="54"/>
      <c r="M80" s="54"/>
      <c r="N80" s="54"/>
      <c r="O80" s="54"/>
      <c r="P80" s="54"/>
      <c r="Q80" s="54"/>
      <c r="R80" s="54"/>
      <c r="S80" s="54"/>
      <c r="T80" s="54"/>
      <c r="U80" s="54"/>
      <c r="V80" s="54"/>
      <c r="W80" s="54"/>
      <c r="X80" s="57">
        <f t="shared" si="53"/>
        <v>6.7500000000000088E-2</v>
      </c>
      <c r="Y80" s="40"/>
    </row>
    <row r="81" spans="12:25" ht="19.5">
      <c r="L81" s="54"/>
      <c r="M81" s="54"/>
      <c r="N81" s="54"/>
      <c r="O81" s="54"/>
      <c r="P81" s="55"/>
      <c r="Q81" s="55"/>
      <c r="R81" s="55"/>
      <c r="S81" s="55"/>
      <c r="T81" s="55"/>
      <c r="U81" s="55"/>
      <c r="V81" s="55"/>
      <c r="W81" s="55"/>
      <c r="X81" s="56"/>
      <c r="Y81" s="40"/>
    </row>
    <row r="87" spans="12:25">
      <c r="M87" s="83" t="s">
        <v>104</v>
      </c>
      <c r="N87" s="83"/>
      <c r="O87" s="83"/>
      <c r="P87" s="83"/>
      <c r="Q87" s="83"/>
      <c r="R87" s="83"/>
      <c r="S87" s="83"/>
      <c r="T87" s="83"/>
    </row>
    <row r="88" spans="12:25" ht="18.75">
      <c r="M88" s="78" t="s">
        <v>89</v>
      </c>
      <c r="N88" s="78" t="s">
        <v>90</v>
      </c>
      <c r="O88" s="78" t="s">
        <v>91</v>
      </c>
      <c r="P88" s="84" t="s">
        <v>92</v>
      </c>
      <c r="Q88" s="84"/>
      <c r="R88" s="84"/>
      <c r="S88" s="84"/>
      <c r="T88" s="84"/>
    </row>
    <row r="89" spans="12:25">
      <c r="M89" s="78"/>
      <c r="N89" s="78"/>
      <c r="O89" s="78"/>
      <c r="P89" s="47" t="s">
        <v>25</v>
      </c>
      <c r="Q89" s="47" t="s">
        <v>32</v>
      </c>
      <c r="R89" s="47" t="s">
        <v>101</v>
      </c>
      <c r="S89" s="47" t="s">
        <v>102</v>
      </c>
      <c r="T89" s="47" t="s">
        <v>103</v>
      </c>
    </row>
    <row r="90" spans="12:25">
      <c r="M90" s="78"/>
      <c r="N90" s="78"/>
      <c r="O90" s="78"/>
      <c r="P90" s="48" t="s">
        <v>97</v>
      </c>
      <c r="Q90" s="48" t="s">
        <v>97</v>
      </c>
      <c r="R90" s="48" t="s">
        <v>97</v>
      </c>
      <c r="S90" s="48" t="s">
        <v>97</v>
      </c>
      <c r="T90" s="48" t="s">
        <v>97</v>
      </c>
    </row>
    <row r="91" spans="12:25">
      <c r="M91" s="49">
        <v>1</v>
      </c>
      <c r="N91" s="49" t="s">
        <v>98</v>
      </c>
      <c r="O91" s="49">
        <v>600</v>
      </c>
      <c r="P91" s="50">
        <f>X28</f>
        <v>4722.0364799999998</v>
      </c>
      <c r="Q91" s="50">
        <f>X38</f>
        <v>4253.9904000000006</v>
      </c>
      <c r="R91" s="50">
        <f>X49</f>
        <v>4705.1711999999998</v>
      </c>
      <c r="S91" s="50">
        <f>X61</f>
        <v>4266.8812800000005</v>
      </c>
      <c r="T91" s="50">
        <f>X74</f>
        <v>4705.1711999999998</v>
      </c>
    </row>
    <row r="92" spans="12:25">
      <c r="M92" s="49">
        <v>2</v>
      </c>
      <c r="N92" s="49" t="s">
        <v>99</v>
      </c>
      <c r="O92" s="49">
        <v>600</v>
      </c>
      <c r="P92" s="50">
        <f>X27</f>
        <v>4005.4348799999998</v>
      </c>
      <c r="Q92" s="50">
        <f>X37</f>
        <v>4705.1711999999998</v>
      </c>
      <c r="R92" s="50">
        <f>X48</f>
        <v>4253.9904000000006</v>
      </c>
      <c r="S92" s="50">
        <f>X60</f>
        <v>4718.0620799999997</v>
      </c>
      <c r="T92" s="50">
        <f>X73</f>
        <v>4253.9904000000006</v>
      </c>
    </row>
    <row r="93" spans="12:25">
      <c r="M93" s="29">
        <v>3</v>
      </c>
      <c r="N93" s="29" t="s">
        <v>100</v>
      </c>
      <c r="O93" s="29">
        <v>1200</v>
      </c>
      <c r="P93" s="32">
        <f>P91+P92</f>
        <v>8727.4713599999995</v>
      </c>
      <c r="Q93" s="32">
        <f t="shared" ref="Q93:T93" si="54">Q91+Q92</f>
        <v>8959.1615999999995</v>
      </c>
      <c r="R93" s="32">
        <f t="shared" si="54"/>
        <v>8959.1615999999995</v>
      </c>
      <c r="S93" s="32">
        <f t="shared" si="54"/>
        <v>8984.9433600000011</v>
      </c>
      <c r="T93" s="32">
        <f t="shared" si="54"/>
        <v>8959.1615999999995</v>
      </c>
    </row>
    <row r="96" spans="12:25">
      <c r="M96" s="83" t="s">
        <v>105</v>
      </c>
      <c r="N96" s="83"/>
      <c r="O96" s="83"/>
      <c r="P96" s="83"/>
      <c r="Q96" s="83"/>
      <c r="R96" s="83"/>
      <c r="S96" s="83"/>
      <c r="T96" s="83"/>
    </row>
    <row r="97" spans="13:20" ht="18.75">
      <c r="M97" s="78" t="s">
        <v>89</v>
      </c>
      <c r="N97" s="78" t="s">
        <v>90</v>
      </c>
      <c r="O97" s="78" t="s">
        <v>91</v>
      </c>
      <c r="P97" s="84" t="s">
        <v>92</v>
      </c>
      <c r="Q97" s="84"/>
      <c r="R97" s="84"/>
      <c r="S97" s="84"/>
      <c r="T97" s="84"/>
    </row>
    <row r="98" spans="13:20">
      <c r="M98" s="78"/>
      <c r="N98" s="78"/>
      <c r="O98" s="78"/>
      <c r="P98" s="47" t="s">
        <v>25</v>
      </c>
      <c r="Q98" s="47" t="s">
        <v>32</v>
      </c>
      <c r="R98" s="47" t="s">
        <v>101</v>
      </c>
      <c r="S98" s="47" t="s">
        <v>102</v>
      </c>
      <c r="T98" s="47" t="s">
        <v>103</v>
      </c>
    </row>
    <row r="99" spans="13:20">
      <c r="M99" s="78"/>
      <c r="N99" s="78"/>
      <c r="O99" s="78"/>
      <c r="P99" s="48" t="s">
        <v>97</v>
      </c>
      <c r="Q99" s="48" t="s">
        <v>97</v>
      </c>
      <c r="R99" s="48" t="s">
        <v>97</v>
      </c>
      <c r="S99" s="48" t="s">
        <v>97</v>
      </c>
      <c r="T99" s="48" t="s">
        <v>97</v>
      </c>
    </row>
    <row r="100" spans="13:20">
      <c r="M100" s="49">
        <v>1</v>
      </c>
      <c r="N100" s="49" t="s">
        <v>98</v>
      </c>
      <c r="O100" s="49">
        <v>600</v>
      </c>
      <c r="P100" s="51">
        <f>Y28</f>
        <v>0.95999999999999985</v>
      </c>
      <c r="Q100" s="51">
        <f>Y38</f>
        <v>0.86794520547945209</v>
      </c>
      <c r="R100" s="51">
        <f>Y49</f>
        <v>0.95999999999999985</v>
      </c>
      <c r="S100" s="51">
        <f>Y61</f>
        <v>0.86819672131147552</v>
      </c>
      <c r="T100" s="51">
        <f>Y74</f>
        <v>0.95999999999999985</v>
      </c>
    </row>
    <row r="101" spans="13:20">
      <c r="M101" s="49">
        <v>2</v>
      </c>
      <c r="N101" s="49" t="s">
        <v>99</v>
      </c>
      <c r="O101" s="49">
        <v>600</v>
      </c>
      <c r="P101" s="51">
        <f>Y27</f>
        <v>0.81431337963742279</v>
      </c>
      <c r="Q101" s="51">
        <f>Y37</f>
        <v>0.95999999999999985</v>
      </c>
      <c r="R101" s="51">
        <f>Y48</f>
        <v>0.86794520547945209</v>
      </c>
      <c r="S101" s="51">
        <f>Y60</f>
        <v>0.96</v>
      </c>
      <c r="T101" s="51">
        <f>Y73</f>
        <v>0.86794520547945209</v>
      </c>
    </row>
    <row r="102" spans="13:20">
      <c r="M102" s="29">
        <v>3</v>
      </c>
      <c r="N102" s="29" t="s">
        <v>100</v>
      </c>
      <c r="O102" s="29">
        <v>1200</v>
      </c>
      <c r="P102" s="52">
        <f>Y26</f>
        <v>0.88715668981871132</v>
      </c>
      <c r="Q102" s="52">
        <f>Y36</f>
        <v>0.91397260273972591</v>
      </c>
      <c r="R102" s="52">
        <f>Y47</f>
        <v>0.91397260273972591</v>
      </c>
      <c r="S102" s="52">
        <f>Y59</f>
        <v>0.91409836065573757</v>
      </c>
      <c r="T102" s="52">
        <f>Y72</f>
        <v>0.91397260273972591</v>
      </c>
    </row>
    <row r="105" spans="13:20">
      <c r="M105" s="83" t="s">
        <v>108</v>
      </c>
      <c r="N105" s="83"/>
      <c r="O105" s="83"/>
      <c r="P105" s="83"/>
      <c r="Q105" s="83"/>
      <c r="R105" s="83"/>
      <c r="S105" s="83"/>
      <c r="T105" s="83"/>
    </row>
    <row r="106" spans="13:20" ht="18.75">
      <c r="M106" s="78" t="s">
        <v>89</v>
      </c>
      <c r="N106" s="78" t="s">
        <v>90</v>
      </c>
      <c r="O106" s="78" t="s">
        <v>91</v>
      </c>
      <c r="P106" s="84" t="s">
        <v>92</v>
      </c>
      <c r="Q106" s="84"/>
      <c r="R106" s="84"/>
      <c r="S106" s="84"/>
      <c r="T106" s="84"/>
    </row>
    <row r="107" spans="13:20">
      <c r="M107" s="78"/>
      <c r="N107" s="78"/>
      <c r="O107" s="78"/>
      <c r="P107" s="47" t="s">
        <v>25</v>
      </c>
      <c r="Q107" s="47" t="s">
        <v>32</v>
      </c>
      <c r="R107" s="47" t="s">
        <v>101</v>
      </c>
      <c r="S107" s="47" t="s">
        <v>102</v>
      </c>
      <c r="T107" s="47" t="s">
        <v>103</v>
      </c>
    </row>
    <row r="108" spans="13:20">
      <c r="M108" s="78"/>
      <c r="N108" s="78"/>
      <c r="O108" s="78"/>
      <c r="P108" s="48" t="s">
        <v>97</v>
      </c>
      <c r="Q108" s="48" t="s">
        <v>97</v>
      </c>
      <c r="R108" s="48" t="s">
        <v>97</v>
      </c>
      <c r="S108" s="48" t="s">
        <v>97</v>
      </c>
      <c r="T108" s="48" t="s">
        <v>97</v>
      </c>
    </row>
    <row r="109" spans="13:20">
      <c r="M109" s="49">
        <v>1</v>
      </c>
      <c r="N109" s="49" t="s">
        <v>98</v>
      </c>
      <c r="O109" s="49">
        <v>600</v>
      </c>
      <c r="P109" s="51">
        <f>X34</f>
        <v>6.4157534246575262E-2</v>
      </c>
      <c r="Q109" s="51">
        <v>6.7500000000000004E-2</v>
      </c>
      <c r="R109" s="51">
        <v>6.7500000000000004E-2</v>
      </c>
      <c r="S109" s="51">
        <v>6.7500000000000004E-2</v>
      </c>
      <c r="T109" s="51">
        <v>6.7500000000000004E-2</v>
      </c>
    </row>
    <row r="110" spans="13:20">
      <c r="M110" s="49">
        <v>2</v>
      </c>
      <c r="N110" s="49" t="s">
        <v>99</v>
      </c>
      <c r="O110" s="49">
        <v>600</v>
      </c>
      <c r="P110" s="51">
        <f>X33</f>
        <v>6.533870967741931E-2</v>
      </c>
      <c r="Q110" s="51">
        <v>6.7500000000000004E-2</v>
      </c>
      <c r="R110" s="51">
        <v>6.7500000000000004E-2</v>
      </c>
      <c r="S110" s="51">
        <v>6.7500000000000004E-2</v>
      </c>
      <c r="T110" s="51">
        <v>6.7500000000000004E-2</v>
      </c>
    </row>
    <row r="111" spans="13:20">
      <c r="M111" s="29">
        <v>3</v>
      </c>
      <c r="N111" s="29" t="s">
        <v>100</v>
      </c>
      <c r="O111" s="29">
        <v>1200</v>
      </c>
      <c r="P111" s="52">
        <f>X32</f>
        <v>6.4699999999999938E-2</v>
      </c>
      <c r="Q111" s="52">
        <v>6.7500000000000004E-2</v>
      </c>
      <c r="R111" s="52">
        <v>6.7500000000000004E-2</v>
      </c>
      <c r="S111" s="52">
        <v>6.7500000000000004E-2</v>
      </c>
      <c r="T111" s="52">
        <v>6.7500000000000004E-2</v>
      </c>
    </row>
    <row r="114" spans="13:20">
      <c r="M114" s="83" t="s">
        <v>106</v>
      </c>
      <c r="N114" s="83"/>
      <c r="O114" s="83"/>
      <c r="P114" s="83"/>
      <c r="Q114" s="83"/>
      <c r="R114" s="83"/>
      <c r="S114" s="83"/>
      <c r="T114" s="83"/>
    </row>
    <row r="115" spans="13:20" ht="18.75">
      <c r="M115" s="78" t="s">
        <v>89</v>
      </c>
      <c r="N115" s="78" t="s">
        <v>90</v>
      </c>
      <c r="O115" s="78" t="s">
        <v>91</v>
      </c>
      <c r="P115" s="84" t="s">
        <v>92</v>
      </c>
      <c r="Q115" s="84"/>
      <c r="R115" s="84"/>
      <c r="S115" s="84"/>
      <c r="T115" s="84"/>
    </row>
    <row r="116" spans="13:20">
      <c r="M116" s="78"/>
      <c r="N116" s="78"/>
      <c r="O116" s="78"/>
      <c r="P116" s="47" t="s">
        <v>25</v>
      </c>
      <c r="Q116" s="47" t="s">
        <v>32</v>
      </c>
      <c r="R116" s="47" t="s">
        <v>101</v>
      </c>
      <c r="S116" s="47" t="s">
        <v>102</v>
      </c>
      <c r="T116" s="47" t="s">
        <v>103</v>
      </c>
    </row>
    <row r="117" spans="13:20">
      <c r="M117" s="78"/>
      <c r="N117" s="78"/>
      <c r="O117" s="78"/>
      <c r="P117" s="48" t="s">
        <v>97</v>
      </c>
      <c r="Q117" s="48" t="s">
        <v>97</v>
      </c>
      <c r="R117" s="48" t="s">
        <v>97</v>
      </c>
      <c r="S117" s="48" t="s">
        <v>97</v>
      </c>
      <c r="T117" s="48" t="s">
        <v>97</v>
      </c>
    </row>
    <row r="118" spans="13:20">
      <c r="M118" s="49">
        <v>1</v>
      </c>
      <c r="N118" s="49" t="s">
        <v>98</v>
      </c>
      <c r="O118" s="49">
        <v>600</v>
      </c>
      <c r="P118" s="50">
        <f>X31</f>
        <v>5045.7599999999993</v>
      </c>
      <c r="Q118" s="50">
        <f>X41</f>
        <v>4561.92</v>
      </c>
      <c r="R118" s="50">
        <f>X52</f>
        <v>5045.76</v>
      </c>
      <c r="S118" s="50">
        <f>X64</f>
        <v>4575.7439999999997</v>
      </c>
      <c r="T118" s="50">
        <f>X77</f>
        <v>5045.76</v>
      </c>
    </row>
    <row r="119" spans="13:20">
      <c r="M119" s="49">
        <v>2</v>
      </c>
      <c r="N119" s="49" t="s">
        <v>99</v>
      </c>
      <c r="O119" s="49">
        <v>600</v>
      </c>
      <c r="P119" s="50">
        <f>X30</f>
        <v>4285.4399999999996</v>
      </c>
      <c r="Q119" s="50">
        <f>X40</f>
        <v>5045.76</v>
      </c>
      <c r="R119" s="50">
        <f>X51</f>
        <v>4561.92</v>
      </c>
      <c r="S119" s="50">
        <f>X63</f>
        <v>5059.5839999999998</v>
      </c>
      <c r="T119" s="50">
        <f>X76</f>
        <v>4561.92</v>
      </c>
    </row>
    <row r="120" spans="13:20">
      <c r="M120" s="29">
        <v>3</v>
      </c>
      <c r="N120" s="29" t="s">
        <v>100</v>
      </c>
      <c r="O120" s="29">
        <v>1200</v>
      </c>
      <c r="P120" s="32">
        <f>P118+P119</f>
        <v>9331.1999999999989</v>
      </c>
      <c r="Q120" s="32">
        <f t="shared" ref="Q120:T120" si="55">Q118+Q119</f>
        <v>9607.68</v>
      </c>
      <c r="R120" s="32">
        <f t="shared" si="55"/>
        <v>9607.68</v>
      </c>
      <c r="S120" s="32">
        <f t="shared" si="55"/>
        <v>9635.3279999999995</v>
      </c>
      <c r="T120" s="32">
        <f t="shared" si="55"/>
        <v>9607.68</v>
      </c>
    </row>
    <row r="123" spans="13:20">
      <c r="M123" s="83" t="s">
        <v>107</v>
      </c>
      <c r="N123" s="83"/>
      <c r="O123" s="83"/>
      <c r="P123" s="83"/>
      <c r="Q123" s="83"/>
      <c r="R123" s="83"/>
      <c r="S123" s="83"/>
      <c r="T123" s="83"/>
    </row>
    <row r="124" spans="13:20" ht="18.75">
      <c r="M124" s="78" t="s">
        <v>89</v>
      </c>
      <c r="N124" s="78" t="s">
        <v>90</v>
      </c>
      <c r="O124" s="78" t="s">
        <v>91</v>
      </c>
      <c r="P124" s="84" t="s">
        <v>92</v>
      </c>
      <c r="Q124" s="84"/>
      <c r="R124" s="84"/>
      <c r="S124" s="84"/>
      <c r="T124" s="84"/>
    </row>
    <row r="125" spans="13:20">
      <c r="M125" s="78"/>
      <c r="N125" s="78"/>
      <c r="O125" s="78"/>
      <c r="P125" s="47" t="s">
        <v>25</v>
      </c>
      <c r="Q125" s="47" t="s">
        <v>32</v>
      </c>
      <c r="R125" s="47" t="s">
        <v>101</v>
      </c>
      <c r="S125" s="47" t="s">
        <v>102</v>
      </c>
      <c r="T125" s="47" t="s">
        <v>103</v>
      </c>
    </row>
    <row r="126" spans="13:20">
      <c r="M126" s="78"/>
      <c r="N126" s="78"/>
      <c r="O126" s="78"/>
      <c r="P126" s="48" t="s">
        <v>97</v>
      </c>
      <c r="Q126" s="48" t="s">
        <v>97</v>
      </c>
      <c r="R126" s="48" t="s">
        <v>97</v>
      </c>
      <c r="S126" s="48" t="s">
        <v>97</v>
      </c>
      <c r="T126" s="48" t="s">
        <v>97</v>
      </c>
    </row>
    <row r="127" spans="13:20">
      <c r="M127" s="49">
        <v>1</v>
      </c>
      <c r="N127" s="49" t="s">
        <v>98</v>
      </c>
      <c r="O127" s="49">
        <v>600</v>
      </c>
      <c r="P127" s="50">
        <f>P118-P91</f>
        <v>323.72351999999955</v>
      </c>
      <c r="Q127" s="50">
        <f t="shared" ref="Q127:T127" si="56">Q118-Q91</f>
        <v>307.92959999999948</v>
      </c>
      <c r="R127" s="50">
        <f t="shared" si="56"/>
        <v>340.58880000000045</v>
      </c>
      <c r="S127" s="50">
        <f t="shared" si="56"/>
        <v>308.86271999999917</v>
      </c>
      <c r="T127" s="50">
        <f t="shared" si="56"/>
        <v>340.58880000000045</v>
      </c>
    </row>
    <row r="128" spans="13:20">
      <c r="M128" s="49">
        <v>2</v>
      </c>
      <c r="N128" s="49" t="s">
        <v>99</v>
      </c>
      <c r="O128" s="49">
        <v>600</v>
      </c>
      <c r="P128" s="50">
        <f t="shared" ref="P128:T129" si="57">P119-P92</f>
        <v>280.00511999999981</v>
      </c>
      <c r="Q128" s="50">
        <f t="shared" si="57"/>
        <v>340.58880000000045</v>
      </c>
      <c r="R128" s="50">
        <f t="shared" si="57"/>
        <v>307.92959999999948</v>
      </c>
      <c r="S128" s="50">
        <f t="shared" si="57"/>
        <v>341.52192000000014</v>
      </c>
      <c r="T128" s="50">
        <f t="shared" si="57"/>
        <v>307.92959999999948</v>
      </c>
    </row>
    <row r="129" spans="13:20">
      <c r="M129" s="29">
        <v>3</v>
      </c>
      <c r="N129" s="29" t="s">
        <v>100</v>
      </c>
      <c r="O129" s="29">
        <v>1200</v>
      </c>
      <c r="P129" s="58">
        <f t="shared" si="57"/>
        <v>603.72863999999936</v>
      </c>
      <c r="Q129" s="58">
        <f t="shared" si="57"/>
        <v>648.51840000000084</v>
      </c>
      <c r="R129" s="58">
        <f t="shared" si="57"/>
        <v>648.51840000000084</v>
      </c>
      <c r="S129" s="58">
        <f t="shared" si="57"/>
        <v>650.3846399999984</v>
      </c>
      <c r="T129" s="58">
        <f t="shared" si="57"/>
        <v>648.51840000000084</v>
      </c>
    </row>
    <row r="134" spans="13:20">
      <c r="M134" s="83" t="s">
        <v>107</v>
      </c>
      <c r="N134" s="83"/>
      <c r="O134" s="83"/>
      <c r="P134" s="83"/>
      <c r="Q134" s="83"/>
      <c r="R134" s="83"/>
      <c r="S134" s="83"/>
      <c r="T134" s="83"/>
    </row>
    <row r="135" spans="13:20" ht="18.75">
      <c r="M135" s="78" t="s">
        <v>89</v>
      </c>
      <c r="N135" s="78" t="s">
        <v>90</v>
      </c>
      <c r="O135" s="78" t="s">
        <v>91</v>
      </c>
      <c r="P135" s="84" t="s">
        <v>92</v>
      </c>
      <c r="Q135" s="84"/>
      <c r="R135" s="84"/>
      <c r="S135" s="84"/>
      <c r="T135" s="84"/>
    </row>
    <row r="136" spans="13:20">
      <c r="M136" s="78"/>
      <c r="N136" s="78"/>
      <c r="O136" s="78"/>
      <c r="P136" s="47" t="s">
        <v>25</v>
      </c>
      <c r="Q136" s="47" t="s">
        <v>32</v>
      </c>
      <c r="R136" s="47" t="s">
        <v>101</v>
      </c>
      <c r="S136" s="47" t="s">
        <v>102</v>
      </c>
      <c r="T136" s="47" t="s">
        <v>103</v>
      </c>
    </row>
    <row r="137" spans="13:20">
      <c r="M137" s="78"/>
      <c r="N137" s="78"/>
      <c r="O137" s="78"/>
      <c r="P137" s="48" t="s">
        <v>97</v>
      </c>
      <c r="Q137" s="48" t="s">
        <v>97</v>
      </c>
      <c r="R137" s="48" t="s">
        <v>97</v>
      </c>
      <c r="S137" s="48" t="s">
        <v>97</v>
      </c>
      <c r="T137" s="48" t="s">
        <v>97</v>
      </c>
    </row>
    <row r="138" spans="13:20">
      <c r="M138" s="49">
        <v>1</v>
      </c>
      <c r="N138" s="49" t="s">
        <v>98</v>
      </c>
      <c r="O138" s="49">
        <v>600</v>
      </c>
      <c r="P138" s="50">
        <f>P129-P102</f>
        <v>602.84148331018059</v>
      </c>
      <c r="Q138" s="50">
        <f t="shared" ref="Q138:T138" si="58">Q129-Q102</f>
        <v>647.60442739726113</v>
      </c>
      <c r="R138" s="50">
        <f t="shared" si="58"/>
        <v>647.60442739726113</v>
      </c>
      <c r="S138" s="50">
        <f t="shared" si="58"/>
        <v>649.47054163934263</v>
      </c>
      <c r="T138" s="50">
        <f t="shared" si="58"/>
        <v>647.60442739726113</v>
      </c>
    </row>
    <row r="139" spans="13:20">
      <c r="M139" s="49">
        <v>2</v>
      </c>
      <c r="N139" s="49" t="s">
        <v>99</v>
      </c>
      <c r="O139" s="49">
        <v>600</v>
      </c>
      <c r="P139" s="50">
        <f t="shared" ref="P139:T139" si="59">P130-P103</f>
        <v>0</v>
      </c>
      <c r="Q139" s="50">
        <f t="shared" si="59"/>
        <v>0</v>
      </c>
      <c r="R139" s="50">
        <f t="shared" si="59"/>
        <v>0</v>
      </c>
      <c r="S139" s="50">
        <f t="shared" si="59"/>
        <v>0</v>
      </c>
      <c r="T139" s="50">
        <f t="shared" si="59"/>
        <v>0</v>
      </c>
    </row>
    <row r="140" spans="13:20">
      <c r="M140" s="29">
        <v>3</v>
      </c>
      <c r="N140" s="29" t="s">
        <v>100</v>
      </c>
      <c r="O140" s="29">
        <v>1200</v>
      </c>
      <c r="P140" s="58">
        <f t="shared" ref="P140:T140" si="60">P131-P104</f>
        <v>0</v>
      </c>
      <c r="Q140" s="58">
        <f t="shared" si="60"/>
        <v>0</v>
      </c>
      <c r="R140" s="58">
        <f t="shared" si="60"/>
        <v>0</v>
      </c>
      <c r="S140" s="58">
        <f t="shared" si="60"/>
        <v>0</v>
      </c>
      <c r="T140" s="58">
        <f t="shared" si="60"/>
        <v>0</v>
      </c>
    </row>
    <row r="144" spans="13:20" ht="18.75">
      <c r="M144" s="85" t="s">
        <v>110</v>
      </c>
      <c r="N144" s="85"/>
      <c r="O144" s="85"/>
      <c r="P144" s="85"/>
      <c r="Q144" s="85"/>
      <c r="R144" s="85"/>
    </row>
    <row r="145" spans="13:18" ht="18.75">
      <c r="M145" s="86" t="s">
        <v>109</v>
      </c>
      <c r="N145" s="86" t="s">
        <v>92</v>
      </c>
      <c r="O145" s="86"/>
      <c r="P145" s="86"/>
      <c r="Q145" s="86"/>
      <c r="R145" s="86"/>
    </row>
    <row r="146" spans="13:18">
      <c r="M146" s="86"/>
      <c r="N146" s="47" t="s">
        <v>25</v>
      </c>
      <c r="O146" s="47" t="s">
        <v>32</v>
      </c>
      <c r="P146" s="47" t="s">
        <v>101</v>
      </c>
      <c r="Q146" s="47" t="s">
        <v>102</v>
      </c>
      <c r="R146" s="47" t="s">
        <v>103</v>
      </c>
    </row>
    <row r="147" spans="13:18">
      <c r="M147" s="86"/>
      <c r="N147" s="49" t="s">
        <v>97</v>
      </c>
      <c r="O147" s="49" t="s">
        <v>97</v>
      </c>
      <c r="P147" s="49" t="s">
        <v>97</v>
      </c>
      <c r="Q147" s="49" t="s">
        <v>97</v>
      </c>
      <c r="R147" s="49" t="s">
        <v>97</v>
      </c>
    </row>
    <row r="148" spans="13:18" ht="15.75">
      <c r="M148" s="60" t="s">
        <v>74</v>
      </c>
      <c r="N148" s="62">
        <v>829.44</v>
      </c>
      <c r="O148" s="62">
        <v>829.44</v>
      </c>
      <c r="P148" s="62">
        <v>829.44</v>
      </c>
      <c r="Q148" s="62">
        <v>829.44</v>
      </c>
      <c r="R148" s="62">
        <v>829.44</v>
      </c>
    </row>
    <row r="149" spans="13:18" ht="15.75">
      <c r="M149" s="60" t="s">
        <v>75</v>
      </c>
      <c r="N149" s="62">
        <v>857.08799999999997</v>
      </c>
      <c r="O149" s="62">
        <v>857.08799999999997</v>
      </c>
      <c r="P149" s="62">
        <v>857.08799999999997</v>
      </c>
      <c r="Q149" s="62">
        <v>857.08799999999997</v>
      </c>
      <c r="R149" s="62">
        <v>857.08799999999997</v>
      </c>
    </row>
    <row r="150" spans="13:18" ht="15.75">
      <c r="M150" s="60" t="s">
        <v>76</v>
      </c>
      <c r="N150" s="62">
        <v>414.72</v>
      </c>
      <c r="O150" s="62">
        <v>552.96</v>
      </c>
      <c r="P150" s="62">
        <v>552.96</v>
      </c>
      <c r="Q150" s="62">
        <v>552.96</v>
      </c>
      <c r="R150" s="62">
        <v>552.96</v>
      </c>
    </row>
    <row r="151" spans="13:18" ht="15.75">
      <c r="M151" s="60" t="s">
        <v>77</v>
      </c>
      <c r="N151" s="62">
        <v>511.48799999999994</v>
      </c>
      <c r="O151" s="62">
        <v>649.72799999999995</v>
      </c>
      <c r="P151" s="62">
        <v>649.72799999999995</v>
      </c>
      <c r="Q151" s="62">
        <v>649.72799999999995</v>
      </c>
      <c r="R151" s="62">
        <v>649.72799999999995</v>
      </c>
    </row>
    <row r="152" spans="13:18" ht="15.75">
      <c r="M152" s="60" t="s">
        <v>78</v>
      </c>
      <c r="N152" s="62">
        <v>857.08799999999997</v>
      </c>
      <c r="O152" s="62">
        <v>857.08799999999997</v>
      </c>
      <c r="P152" s="62">
        <v>857.08799999999997</v>
      </c>
      <c r="Q152" s="62">
        <v>857.08799999999997</v>
      </c>
      <c r="R152" s="62">
        <v>857.08799999999997</v>
      </c>
    </row>
    <row r="153" spans="13:18" ht="15.75">
      <c r="M153" s="60" t="s">
        <v>79</v>
      </c>
      <c r="N153" s="62">
        <v>829.44</v>
      </c>
      <c r="O153" s="62">
        <v>829.44</v>
      </c>
      <c r="P153" s="62">
        <v>829.44</v>
      </c>
      <c r="Q153" s="62">
        <v>829.44</v>
      </c>
      <c r="R153" s="62">
        <v>829.44</v>
      </c>
    </row>
    <row r="154" spans="13:18" ht="15.75">
      <c r="M154" s="60" t="s">
        <v>80</v>
      </c>
      <c r="N154" s="62">
        <v>857.08799999999997</v>
      </c>
      <c r="O154" s="62">
        <v>857.08799999999997</v>
      </c>
      <c r="P154" s="62">
        <v>857.08799999999997</v>
      </c>
      <c r="Q154" s="62">
        <v>857.08799999999997</v>
      </c>
      <c r="R154" s="62">
        <v>857.08799999999997</v>
      </c>
    </row>
    <row r="155" spans="13:18" ht="15.75">
      <c r="M155" s="60" t="s">
        <v>81</v>
      </c>
      <c r="N155" s="62">
        <v>829.44</v>
      </c>
      <c r="O155" s="62">
        <v>829.44</v>
      </c>
      <c r="P155" s="62">
        <v>829.44</v>
      </c>
      <c r="Q155" s="62">
        <v>829.44</v>
      </c>
      <c r="R155" s="62">
        <v>829.44</v>
      </c>
    </row>
    <row r="156" spans="13:18" ht="15.75">
      <c r="M156" s="60" t="s">
        <v>82</v>
      </c>
      <c r="N156" s="62">
        <v>857.08799999999997</v>
      </c>
      <c r="O156" s="62">
        <v>857.08799999999997</v>
      </c>
      <c r="P156" s="62">
        <v>857.08799999999997</v>
      </c>
      <c r="Q156" s="62">
        <v>857.08799999999997</v>
      </c>
      <c r="R156" s="62">
        <v>857.08799999999997</v>
      </c>
    </row>
    <row r="157" spans="13:18" ht="15.75">
      <c r="M157" s="60" t="s">
        <v>83</v>
      </c>
      <c r="N157" s="62">
        <v>857.08799999999997</v>
      </c>
      <c r="O157" s="62">
        <v>857.08799999999997</v>
      </c>
      <c r="P157" s="62">
        <v>857.08799999999997</v>
      </c>
      <c r="Q157" s="62">
        <v>857.08799999999997</v>
      </c>
      <c r="R157" s="62">
        <v>857.08799999999997</v>
      </c>
    </row>
    <row r="158" spans="13:18" ht="15.75">
      <c r="M158" s="60" t="s">
        <v>84</v>
      </c>
      <c r="N158" s="62">
        <v>774.14400000000012</v>
      </c>
      <c r="O158" s="62">
        <v>774.14400000000012</v>
      </c>
      <c r="P158" s="62">
        <v>774.14400000000012</v>
      </c>
      <c r="Q158" s="62">
        <v>801.79200000000003</v>
      </c>
      <c r="R158" s="62">
        <v>774.14400000000012</v>
      </c>
    </row>
    <row r="159" spans="13:18" ht="15.75">
      <c r="M159" s="60" t="s">
        <v>85</v>
      </c>
      <c r="N159" s="62">
        <v>857.08799999999997</v>
      </c>
      <c r="O159" s="62">
        <v>857.08799999999997</v>
      </c>
      <c r="P159" s="62">
        <v>857.08799999999997</v>
      </c>
      <c r="Q159" s="62">
        <v>857.08799999999997</v>
      </c>
      <c r="R159" s="62">
        <v>857.08799999999997</v>
      </c>
    </row>
    <row r="160" spans="13:18" ht="16.5" thickBot="1">
      <c r="M160" s="59" t="s">
        <v>5</v>
      </c>
      <c r="N160" s="61">
        <f>SUM(N148:N159)</f>
        <v>9331.1999999999989</v>
      </c>
      <c r="O160" s="61">
        <f t="shared" ref="O160:R160" si="61">SUM(O148:O159)</f>
        <v>9607.68</v>
      </c>
      <c r="P160" s="61">
        <f t="shared" si="61"/>
        <v>9607.68</v>
      </c>
      <c r="Q160" s="61">
        <f t="shared" si="61"/>
        <v>9635.3279999999995</v>
      </c>
      <c r="R160" s="61">
        <f t="shared" si="61"/>
        <v>9607.68</v>
      </c>
    </row>
    <row r="164" spans="13:18" ht="18.75">
      <c r="M164" s="85" t="s">
        <v>111</v>
      </c>
      <c r="N164" s="85"/>
      <c r="O164" s="85"/>
      <c r="P164" s="85"/>
      <c r="Q164" s="85"/>
      <c r="R164" s="85"/>
    </row>
    <row r="165" spans="13:18" ht="18.75">
      <c r="M165" s="86" t="s">
        <v>109</v>
      </c>
      <c r="N165" s="86" t="s">
        <v>92</v>
      </c>
      <c r="O165" s="86"/>
      <c r="P165" s="86"/>
      <c r="Q165" s="86"/>
      <c r="R165" s="86"/>
    </row>
    <row r="166" spans="13:18">
      <c r="M166" s="86"/>
      <c r="N166" s="47" t="s">
        <v>25</v>
      </c>
      <c r="O166" s="47" t="s">
        <v>32</v>
      </c>
      <c r="P166" s="47" t="s">
        <v>101</v>
      </c>
      <c r="Q166" s="47" t="s">
        <v>102</v>
      </c>
      <c r="R166" s="47" t="s">
        <v>103</v>
      </c>
    </row>
    <row r="167" spans="13:18">
      <c r="M167" s="86"/>
      <c r="N167" s="49" t="s">
        <v>97</v>
      </c>
      <c r="O167" s="49" t="s">
        <v>97</v>
      </c>
      <c r="P167" s="49" t="s">
        <v>97</v>
      </c>
      <c r="Q167" s="49" t="s">
        <v>97</v>
      </c>
      <c r="R167" s="49" t="s">
        <v>97</v>
      </c>
    </row>
    <row r="168" spans="13:18" ht="15.75">
      <c r="M168" s="60" t="s">
        <v>74</v>
      </c>
      <c r="N168" s="62">
        <v>781.74720000000002</v>
      </c>
      <c r="O168" s="62">
        <v>773.45280000000002</v>
      </c>
      <c r="P168" s="62">
        <v>773.45280000000002</v>
      </c>
      <c r="Q168" s="62">
        <v>773.45280000000002</v>
      </c>
      <c r="R168" s="62">
        <v>773.45280000000002</v>
      </c>
    </row>
    <row r="169" spans="13:18" ht="15.75">
      <c r="M169" s="60" t="s">
        <v>75</v>
      </c>
      <c r="N169" s="62">
        <v>807.80543999999998</v>
      </c>
      <c r="O169" s="62">
        <v>799.23455999999999</v>
      </c>
      <c r="P169" s="62">
        <v>799.23455999999999</v>
      </c>
      <c r="Q169" s="62">
        <v>799.23455999999999</v>
      </c>
      <c r="R169" s="62">
        <v>799.23455999999999</v>
      </c>
    </row>
    <row r="170" spans="13:18" ht="15.75">
      <c r="M170" s="60" t="s">
        <v>76</v>
      </c>
      <c r="N170" s="62">
        <v>390.87360000000001</v>
      </c>
      <c r="O170" s="62">
        <v>515.63520000000005</v>
      </c>
      <c r="P170" s="62">
        <v>515.63520000000005</v>
      </c>
      <c r="Q170" s="62">
        <v>515.63520000000005</v>
      </c>
      <c r="R170" s="62">
        <v>515.63520000000005</v>
      </c>
    </row>
    <row r="171" spans="13:18" ht="15.75">
      <c r="M171" s="60" t="s">
        <v>77</v>
      </c>
      <c r="N171" s="62">
        <v>482.07743999999997</v>
      </c>
      <c r="O171" s="62">
        <v>605.87135999999998</v>
      </c>
      <c r="P171" s="62">
        <v>605.87135999999998</v>
      </c>
      <c r="Q171" s="62">
        <v>605.87135999999998</v>
      </c>
      <c r="R171" s="62">
        <v>605.87135999999998</v>
      </c>
    </row>
    <row r="172" spans="13:18" ht="15.75">
      <c r="M172" s="60" t="s">
        <v>78</v>
      </c>
      <c r="N172" s="62">
        <v>799.23455999999999</v>
      </c>
      <c r="O172" s="62">
        <v>799.23455999999999</v>
      </c>
      <c r="P172" s="62">
        <v>799.23455999999999</v>
      </c>
      <c r="Q172" s="62">
        <v>799.23455999999999</v>
      </c>
      <c r="R172" s="62">
        <v>799.23455999999999</v>
      </c>
    </row>
    <row r="173" spans="13:18" ht="15.75">
      <c r="M173" s="60" t="s">
        <v>79</v>
      </c>
      <c r="N173" s="62">
        <v>773.45280000000002</v>
      </c>
      <c r="O173" s="62">
        <v>773.45280000000002</v>
      </c>
      <c r="P173" s="62">
        <v>773.45280000000002</v>
      </c>
      <c r="Q173" s="62">
        <v>773.45280000000002</v>
      </c>
      <c r="R173" s="62">
        <v>773.45280000000002</v>
      </c>
    </row>
    <row r="174" spans="13:18" ht="15.75">
      <c r="M174" s="60" t="s">
        <v>80</v>
      </c>
      <c r="N174" s="62">
        <v>799.23455999999999</v>
      </c>
      <c r="O174" s="62">
        <v>799.23455999999999</v>
      </c>
      <c r="P174" s="62">
        <v>799.23455999999999</v>
      </c>
      <c r="Q174" s="62">
        <v>799.23455999999999</v>
      </c>
      <c r="R174" s="62">
        <v>799.23455999999999</v>
      </c>
    </row>
    <row r="175" spans="13:18" ht="15.75">
      <c r="M175" s="60" t="s">
        <v>81</v>
      </c>
      <c r="N175" s="62">
        <v>773.45280000000002</v>
      </c>
      <c r="O175" s="62">
        <v>773.45280000000002</v>
      </c>
      <c r="P175" s="62">
        <v>773.45280000000002</v>
      </c>
      <c r="Q175" s="62">
        <v>773.45280000000002</v>
      </c>
      <c r="R175" s="62">
        <v>773.45280000000002</v>
      </c>
    </row>
    <row r="176" spans="13:18" ht="15.75">
      <c r="M176" s="60" t="s">
        <v>82</v>
      </c>
      <c r="N176" s="62">
        <v>799.23455999999999</v>
      </c>
      <c r="O176" s="62">
        <v>799.23455999999999</v>
      </c>
      <c r="P176" s="62">
        <v>799.23455999999999</v>
      </c>
      <c r="Q176" s="62">
        <v>799.23455999999999</v>
      </c>
      <c r="R176" s="62">
        <v>799.23455999999999</v>
      </c>
    </row>
    <row r="177" spans="13:18" ht="15.75">
      <c r="M177" s="60" t="s">
        <v>83</v>
      </c>
      <c r="N177" s="62">
        <v>799.23455999999999</v>
      </c>
      <c r="O177" s="62">
        <v>799.23455999999999</v>
      </c>
      <c r="P177" s="62">
        <v>799.23455999999999</v>
      </c>
      <c r="Q177" s="62">
        <v>799.23455999999999</v>
      </c>
      <c r="R177" s="62">
        <v>799.23455999999999</v>
      </c>
    </row>
    <row r="178" spans="13:18" ht="15.75">
      <c r="M178" s="60" t="s">
        <v>84</v>
      </c>
      <c r="N178" s="62">
        <v>721.8892800000001</v>
      </c>
      <c r="O178" s="62">
        <v>721.8892800000001</v>
      </c>
      <c r="P178" s="62">
        <v>721.8892800000001</v>
      </c>
      <c r="Q178" s="62">
        <v>747.67104000000006</v>
      </c>
      <c r="R178" s="62">
        <v>721.8892800000001</v>
      </c>
    </row>
    <row r="179" spans="13:18" ht="15.75">
      <c r="M179" s="60" t="s">
        <v>85</v>
      </c>
      <c r="N179" s="62">
        <v>799.23455999999999</v>
      </c>
      <c r="O179" s="62">
        <v>799.23455999999999</v>
      </c>
      <c r="P179" s="62">
        <v>799.23455999999999</v>
      </c>
      <c r="Q179" s="62">
        <v>799.23455999999999</v>
      </c>
      <c r="R179" s="62">
        <v>799.23455999999999</v>
      </c>
    </row>
    <row r="180" spans="13:18" ht="15.75">
      <c r="M180" s="63" t="s">
        <v>5</v>
      </c>
      <c r="N180" s="64">
        <f>SUM(N168:N179)</f>
        <v>8727.4713599999995</v>
      </c>
      <c r="O180" s="64">
        <f t="shared" ref="O180" si="62">SUM(O168:O179)</f>
        <v>8959.1615999999995</v>
      </c>
      <c r="P180" s="64">
        <f t="shared" ref="P180" si="63">SUM(P168:P179)</f>
        <v>8959.1615999999995</v>
      </c>
      <c r="Q180" s="64">
        <f t="shared" ref="Q180" si="64">SUM(Q168:Q179)</f>
        <v>8984.9433599999993</v>
      </c>
      <c r="R180" s="64">
        <f t="shared" ref="R180" si="65">SUM(R168:R179)</f>
        <v>8959.1615999999995</v>
      </c>
    </row>
  </sheetData>
  <mergeCells count="37">
    <mergeCell ref="M105:T105"/>
    <mergeCell ref="A18:X18"/>
    <mergeCell ref="M87:T87"/>
    <mergeCell ref="M88:M90"/>
    <mergeCell ref="N88:N90"/>
    <mergeCell ref="O88:O90"/>
    <mergeCell ref="P88:T88"/>
    <mergeCell ref="M96:T96"/>
    <mergeCell ref="M97:M99"/>
    <mergeCell ref="N97:N99"/>
    <mergeCell ref="O97:O99"/>
    <mergeCell ref="P97:T97"/>
    <mergeCell ref="M134:T134"/>
    <mergeCell ref="M106:M108"/>
    <mergeCell ref="N106:N108"/>
    <mergeCell ref="O106:O108"/>
    <mergeCell ref="P106:T106"/>
    <mergeCell ref="M114:T114"/>
    <mergeCell ref="M115:M117"/>
    <mergeCell ref="N115:N117"/>
    <mergeCell ref="O115:O117"/>
    <mergeCell ref="P115:T115"/>
    <mergeCell ref="M123:T123"/>
    <mergeCell ref="M124:M126"/>
    <mergeCell ref="N124:N126"/>
    <mergeCell ref="O124:O126"/>
    <mergeCell ref="P124:T124"/>
    <mergeCell ref="M164:R164"/>
    <mergeCell ref="M165:M167"/>
    <mergeCell ref="N165:R165"/>
    <mergeCell ref="M135:M137"/>
    <mergeCell ref="N135:N137"/>
    <mergeCell ref="O135:O137"/>
    <mergeCell ref="P135:T135"/>
    <mergeCell ref="M145:M147"/>
    <mergeCell ref="N145:R145"/>
    <mergeCell ref="M144:R1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SCCL-Resource</vt:lpstr>
      <vt:lpstr>new Gas IPPs</vt:lpstr>
      <vt:lpstr>Sheet1</vt:lpstr>
      <vt:lpstr>Sheet2</vt:lpstr>
      <vt:lpstr>Generation projections</vt:lpstr>
      <vt:lpstr>Sheet7</vt:lpstr>
      <vt:lpstr>'new Gas IPPs'!Print_Area</vt:lpstr>
      <vt:lpstr>'SCCL-Resource'!Print_Area</vt:lpstr>
      <vt:lpstr>Sheet2!Print_Area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2023-10-12T04:36:25Z</dcterms:modified>
</cp:coreProperties>
</file>